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BUDGET\2027\BUDGET WORKSHOPS\4.8.26\"/>
    </mc:Choice>
  </mc:AlternateContent>
  <xr:revisionPtr revIDLastSave="0" documentId="8_{70C60468-6F39-4723-947A-556DAF9DD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6" i="1" l="1"/>
  <c r="X122" i="1"/>
  <c r="Y221" i="1"/>
  <c r="W125" i="1"/>
  <c r="X125" i="1" s="1"/>
  <c r="Y125" i="1" s="1"/>
  <c r="W331" i="1"/>
  <c r="W12" i="1"/>
  <c r="X433" i="1"/>
  <c r="X434" i="1"/>
  <c r="X435" i="1"/>
  <c r="X436" i="1"/>
  <c r="W179" i="1"/>
  <c r="X179" i="1"/>
  <c r="Y179" i="1" s="1"/>
  <c r="X379" i="1"/>
  <c r="S116" i="1"/>
  <c r="T116" i="1" s="1"/>
  <c r="S436" i="1"/>
  <c r="T436" i="1" s="1"/>
  <c r="V436" i="1" s="1"/>
  <c r="U142" i="1"/>
  <c r="T315" i="1"/>
  <c r="T328" i="1"/>
  <c r="T329" i="1"/>
  <c r="T314" i="1"/>
  <c r="X457" i="1"/>
  <c r="Y457" i="1" s="1"/>
  <c r="S440" i="1"/>
  <c r="T440" i="1" s="1"/>
  <c r="V440" i="1" s="1"/>
  <c r="T438" i="1"/>
  <c r="V438" i="1" s="1"/>
  <c r="T437" i="1"/>
  <c r="X421" i="1"/>
  <c r="X420" i="1"/>
  <c r="X418" i="1"/>
  <c r="X417" i="1"/>
  <c r="X419" i="1"/>
  <c r="S418" i="1"/>
  <c r="T418" i="1" s="1"/>
  <c r="V418" i="1" s="1"/>
  <c r="X398" i="1"/>
  <c r="X399" i="1"/>
  <c r="X400" i="1"/>
  <c r="X401" i="1"/>
  <c r="S397" i="1"/>
  <c r="T397" i="1" s="1"/>
  <c r="U397" i="1" s="1"/>
  <c r="T398" i="1"/>
  <c r="V398" i="1" s="1"/>
  <c r="S394" i="1"/>
  <c r="T394" i="1" s="1"/>
  <c r="V394" i="1" s="1"/>
  <c r="S393" i="1"/>
  <c r="T393" i="1" s="1"/>
  <c r="V393" i="1" s="1"/>
  <c r="T392" i="1"/>
  <c r="V392" i="1" s="1"/>
  <c r="S391" i="1"/>
  <c r="T391" i="1" s="1"/>
  <c r="V391" i="1" s="1"/>
  <c r="S390" i="1"/>
  <c r="T390" i="1"/>
  <c r="U390" i="1" s="1"/>
  <c r="S389" i="1"/>
  <c r="T389" i="1" s="1"/>
  <c r="V389" i="1" s="1"/>
  <c r="T388" i="1"/>
  <c r="U388" i="1" s="1"/>
  <c r="S384" i="1"/>
  <c r="T384" i="1" s="1"/>
  <c r="V384" i="1" s="1"/>
  <c r="S382" i="1"/>
  <c r="T382" i="1" s="1"/>
  <c r="U382" i="1" s="1"/>
  <c r="S377" i="1"/>
  <c r="T377" i="1" s="1"/>
  <c r="T366" i="1"/>
  <c r="V366" i="1" s="1"/>
  <c r="S352" i="1"/>
  <c r="T352" i="1" s="1"/>
  <c r="V352" i="1" s="1"/>
  <c r="S350" i="1"/>
  <c r="T350" i="1" s="1"/>
  <c r="U350" i="1" s="1"/>
  <c r="S348" i="1"/>
  <c r="T348" i="1" s="1"/>
  <c r="U348" i="1" s="1"/>
  <c r="X347" i="1"/>
  <c r="T346" i="1"/>
  <c r="V346" i="1" s="1"/>
  <c r="X346" i="1"/>
  <c r="Y346" i="1" s="1"/>
  <c r="T239" i="1"/>
  <c r="R100" i="1"/>
  <c r="T100" i="1" s="1"/>
  <c r="V100" i="1" s="1"/>
  <c r="S290" i="1"/>
  <c r="T290" i="1" s="1"/>
  <c r="U290" i="1" s="1"/>
  <c r="S287" i="1"/>
  <c r="T287" i="1" s="1"/>
  <c r="S286" i="1"/>
  <c r="T286" i="1" s="1"/>
  <c r="V286" i="1" s="1"/>
  <c r="R284" i="1"/>
  <c r="R292" i="1" s="1"/>
  <c r="R293" i="1" s="1"/>
  <c r="S274" i="1"/>
  <c r="S264" i="1"/>
  <c r="S248" i="1"/>
  <c r="T248" i="1" s="1"/>
  <c r="V248" i="1" s="1"/>
  <c r="S243" i="1"/>
  <c r="T243" i="1" s="1"/>
  <c r="S224" i="1"/>
  <c r="T217" i="1"/>
  <c r="V217" i="1" s="1"/>
  <c r="S213" i="1"/>
  <c r="T213" i="1" s="1"/>
  <c r="U213" i="1" s="1"/>
  <c r="S214" i="1"/>
  <c r="X208" i="1"/>
  <c r="S210" i="1"/>
  <c r="S200" i="1"/>
  <c r="X192" i="1"/>
  <c r="W189" i="1"/>
  <c r="S189" i="1"/>
  <c r="R181" i="1"/>
  <c r="T181" i="1" s="1"/>
  <c r="V181" i="1" s="1"/>
  <c r="R179" i="1"/>
  <c r="S175" i="1"/>
  <c r="T154" i="1"/>
  <c r="V154" i="1" s="1"/>
  <c r="S152" i="1"/>
  <c r="T152" i="1" s="1"/>
  <c r="U152" i="1" s="1"/>
  <c r="S151" i="1"/>
  <c r="S145" i="1"/>
  <c r="T145" i="1" s="1"/>
  <c r="T143" i="1"/>
  <c r="S141" i="1"/>
  <c r="T141" i="1" s="1"/>
  <c r="U141" i="1" s="1"/>
  <c r="S134" i="1"/>
  <c r="T134" i="1" s="1"/>
  <c r="T132" i="1"/>
  <c r="S125" i="1"/>
  <c r="T125" i="1" s="1"/>
  <c r="S124" i="1"/>
  <c r="T124" i="1" s="1"/>
  <c r="S123" i="1"/>
  <c r="T123" i="1" s="1"/>
  <c r="S121" i="1"/>
  <c r="T121" i="1" s="1"/>
  <c r="S120" i="1"/>
  <c r="T120" i="1" s="1"/>
  <c r="U120" i="1" s="1"/>
  <c r="S119" i="1"/>
  <c r="T119" i="1" s="1"/>
  <c r="S117" i="1"/>
  <c r="T117" i="1" s="1"/>
  <c r="U117" i="1" s="1"/>
  <c r="S112" i="1"/>
  <c r="T112" i="1" s="1"/>
  <c r="T113" i="1"/>
  <c r="U113" i="1" s="1"/>
  <c r="R111" i="1"/>
  <c r="R107" i="1"/>
  <c r="R106" i="1"/>
  <c r="S111" i="1"/>
  <c r="S110" i="1"/>
  <c r="T110" i="1" s="1"/>
  <c r="S109" i="1"/>
  <c r="T109" i="1" s="1"/>
  <c r="S107" i="1"/>
  <c r="X107" i="1"/>
  <c r="Y107" i="1" s="1"/>
  <c r="X108" i="1"/>
  <c r="X109" i="1"/>
  <c r="Y109" i="1" s="1"/>
  <c r="X110" i="1"/>
  <c r="Y110" i="1" s="1"/>
  <c r="X111" i="1"/>
  <c r="Y111" i="1" s="1"/>
  <c r="X112" i="1"/>
  <c r="Y112" i="1" s="1"/>
  <c r="X113" i="1"/>
  <c r="Y113" i="1" s="1"/>
  <c r="X114" i="1"/>
  <c r="Y114" i="1" s="1"/>
  <c r="X115" i="1"/>
  <c r="X116" i="1"/>
  <c r="S106" i="1"/>
  <c r="X98" i="1"/>
  <c r="X99" i="1"/>
  <c r="X100" i="1"/>
  <c r="X101" i="1"/>
  <c r="Y101" i="1" s="1"/>
  <c r="X102" i="1"/>
  <c r="Y102" i="1" s="1"/>
  <c r="P13" i="1"/>
  <c r="P14" i="1" s="1"/>
  <c r="P24" i="1"/>
  <c r="P25" i="1" s="1"/>
  <c r="P31" i="1"/>
  <c r="P32" i="1" s="1"/>
  <c r="P33" i="1" s="1"/>
  <c r="P42" i="1"/>
  <c r="P47" i="1"/>
  <c r="P52" i="1"/>
  <c r="P59" i="1"/>
  <c r="P63" i="1"/>
  <c r="P68" i="1"/>
  <c r="P69" i="1" s="1"/>
  <c r="P74" i="1"/>
  <c r="P93" i="1"/>
  <c r="P103" i="1"/>
  <c r="P148" i="1"/>
  <c r="P155" i="1"/>
  <c r="P159" i="1"/>
  <c r="P166" i="1"/>
  <c r="P167" i="1" s="1"/>
  <c r="P184" i="1"/>
  <c r="P193" i="1"/>
  <c r="P197" i="1"/>
  <c r="P200" i="1"/>
  <c r="P202" i="1" s="1"/>
  <c r="P210" i="1"/>
  <c r="P221" i="1"/>
  <c r="P228" i="1"/>
  <c r="P236" i="1"/>
  <c r="P240" i="1"/>
  <c r="P250" i="1"/>
  <c r="P256" i="1"/>
  <c r="P260" i="1"/>
  <c r="P264" i="1"/>
  <c r="P265" i="1" s="1"/>
  <c r="P270" i="1"/>
  <c r="P277" i="1"/>
  <c r="P292" i="1"/>
  <c r="P293" i="1" s="1"/>
  <c r="P332" i="1"/>
  <c r="P333" i="1" s="1"/>
  <c r="P340" i="1"/>
  <c r="P423" i="1"/>
  <c r="P455" i="1" s="1"/>
  <c r="P465" i="1" s="1"/>
  <c r="R96" i="1"/>
  <c r="S92" i="1"/>
  <c r="T92" i="1" s="1"/>
  <c r="V92" i="1" s="1"/>
  <c r="S91" i="1"/>
  <c r="T91" i="1" s="1"/>
  <c r="V91" i="1" s="1"/>
  <c r="U90" i="1"/>
  <c r="S89" i="1"/>
  <c r="T89" i="1" s="1"/>
  <c r="U89" i="1" s="1"/>
  <c r="S380" i="1"/>
  <c r="S86" i="1"/>
  <c r="T86" i="1" s="1"/>
  <c r="V86" i="1" s="1"/>
  <c r="S85" i="1"/>
  <c r="T85" i="1" s="1"/>
  <c r="V85" i="1" s="1"/>
  <c r="T82" i="1"/>
  <c r="V82" i="1" s="1"/>
  <c r="S80" i="1"/>
  <c r="T80" i="1" s="1"/>
  <c r="V80" i="1" s="1"/>
  <c r="S79" i="1"/>
  <c r="S68" i="1"/>
  <c r="S62" i="1"/>
  <c r="R40" i="1"/>
  <c r="T40" i="1" s="1"/>
  <c r="S50" i="1"/>
  <c r="R41" i="1"/>
  <c r="S45" i="1"/>
  <c r="S47" i="1" s="1"/>
  <c r="S38" i="1"/>
  <c r="T38" i="1" s="1"/>
  <c r="V38" i="1" s="1"/>
  <c r="S31" i="1"/>
  <c r="S29" i="1"/>
  <c r="T29" i="1" s="1"/>
  <c r="V29" i="1" s="1"/>
  <c r="S18" i="1"/>
  <c r="T18" i="1" s="1"/>
  <c r="U18" i="1" s="1"/>
  <c r="S21" i="1"/>
  <c r="T21" i="1" s="1"/>
  <c r="V21" i="1" s="1"/>
  <c r="S20" i="1"/>
  <c r="T20" i="1" s="1"/>
  <c r="W236" i="1"/>
  <c r="W166" i="1"/>
  <c r="W167" i="1" s="1"/>
  <c r="W148" i="1"/>
  <c r="W93" i="1"/>
  <c r="S11" i="1"/>
  <c r="O455" i="1"/>
  <c r="O465" i="1" s="1"/>
  <c r="O466" i="1" s="1"/>
  <c r="Q193" i="1"/>
  <c r="Q184" i="1"/>
  <c r="Q202" i="1"/>
  <c r="Q210" i="1"/>
  <c r="Q221" i="1"/>
  <c r="Q228" i="1"/>
  <c r="Q236" i="1"/>
  <c r="Q240" i="1"/>
  <c r="Q250" i="1"/>
  <c r="Q256" i="1"/>
  <c r="Q265" i="1"/>
  <c r="Q270" i="1"/>
  <c r="Q277" i="1"/>
  <c r="Q292" i="1"/>
  <c r="Q293" i="1" s="1"/>
  <c r="Q155" i="1"/>
  <c r="Q148" i="1"/>
  <c r="O103" i="1"/>
  <c r="Q103" i="1"/>
  <c r="Q93" i="1"/>
  <c r="O93" i="1"/>
  <c r="Q63" i="1"/>
  <c r="Q32" i="1"/>
  <c r="Q33" i="1" s="1"/>
  <c r="Q24" i="1"/>
  <c r="Q25" i="1" s="1"/>
  <c r="Q13" i="1"/>
  <c r="Q14" i="1" s="1"/>
  <c r="R13" i="1"/>
  <c r="R14" i="1" s="1"/>
  <c r="O13" i="1"/>
  <c r="O14" i="1" s="1"/>
  <c r="Q74" i="1"/>
  <c r="Q42" i="1"/>
  <c r="T347" i="1"/>
  <c r="V347" i="1" s="1"/>
  <c r="R265" i="1"/>
  <c r="O265" i="1"/>
  <c r="T263" i="1"/>
  <c r="U263" i="1" s="1"/>
  <c r="W47" i="1"/>
  <c r="T58" i="1"/>
  <c r="V58" i="1" s="1"/>
  <c r="V59" i="1" s="1"/>
  <c r="N103" i="1"/>
  <c r="L103" i="1"/>
  <c r="K103" i="1"/>
  <c r="M103" i="1"/>
  <c r="N74" i="1"/>
  <c r="W59" i="1"/>
  <c r="K59" i="1"/>
  <c r="M265" i="1"/>
  <c r="L265" i="1"/>
  <c r="K265" i="1"/>
  <c r="N265" i="1"/>
  <c r="R59" i="1"/>
  <c r="Q59" i="1"/>
  <c r="O59" i="1"/>
  <c r="N59" i="1"/>
  <c r="M59" i="1"/>
  <c r="L59" i="1"/>
  <c r="J59" i="1"/>
  <c r="I59" i="1"/>
  <c r="H59" i="1"/>
  <c r="G59" i="1"/>
  <c r="F59" i="1"/>
  <c r="E59" i="1"/>
  <c r="D59" i="1"/>
  <c r="C59" i="1"/>
  <c r="B59" i="1"/>
  <c r="X62" i="1"/>
  <c r="Y62" i="1" s="1"/>
  <c r="O277" i="1"/>
  <c r="R277" i="1"/>
  <c r="N475" i="1"/>
  <c r="T470" i="1"/>
  <c r="T461" i="1"/>
  <c r="V461" i="1" s="1"/>
  <c r="R455" i="1"/>
  <c r="R465" i="1" s="1"/>
  <c r="R466" i="1" s="1"/>
  <c r="Q455" i="1"/>
  <c r="Q465" i="1" s="1"/>
  <c r="Q466" i="1" s="1"/>
  <c r="N455" i="1"/>
  <c r="N465" i="1" s="1"/>
  <c r="N466" i="1" s="1"/>
  <c r="M455" i="1"/>
  <c r="M465" i="1" s="1"/>
  <c r="M466" i="1" s="1"/>
  <c r="L455" i="1"/>
  <c r="L465" i="1" s="1"/>
  <c r="L466" i="1" s="1"/>
  <c r="K455" i="1"/>
  <c r="K465" i="1" s="1"/>
  <c r="K466" i="1" s="1"/>
  <c r="J455" i="1"/>
  <c r="J465" i="1" s="1"/>
  <c r="J466" i="1" s="1"/>
  <c r="I455" i="1"/>
  <c r="I465" i="1" s="1"/>
  <c r="I466" i="1" s="1"/>
  <c r="H455" i="1"/>
  <c r="H465" i="1" s="1"/>
  <c r="H466" i="1" s="1"/>
  <c r="G455" i="1"/>
  <c r="G465" i="1" s="1"/>
  <c r="G466" i="1" s="1"/>
  <c r="F455" i="1"/>
  <c r="F465" i="1" s="1"/>
  <c r="F466" i="1" s="1"/>
  <c r="E455" i="1"/>
  <c r="E465" i="1" s="1"/>
  <c r="E466" i="1" s="1"/>
  <c r="D455" i="1"/>
  <c r="D465" i="1" s="1"/>
  <c r="D466" i="1" s="1"/>
  <c r="C455" i="1"/>
  <c r="C465" i="1" s="1"/>
  <c r="C466" i="1" s="1"/>
  <c r="X454" i="1"/>
  <c r="Y454" i="1" s="1"/>
  <c r="T454" i="1"/>
  <c r="V454" i="1" s="1"/>
  <c r="X453" i="1"/>
  <c r="T453" i="1"/>
  <c r="V453" i="1" s="1"/>
  <c r="X452" i="1"/>
  <c r="T452" i="1"/>
  <c r="U452" i="1" s="1"/>
  <c r="X451" i="1"/>
  <c r="T451" i="1"/>
  <c r="V451" i="1" s="1"/>
  <c r="X450" i="1"/>
  <c r="T450" i="1"/>
  <c r="V450" i="1" s="1"/>
  <c r="X449" i="1"/>
  <c r="T449" i="1"/>
  <c r="V449" i="1" s="1"/>
  <c r="X448" i="1"/>
  <c r="T448" i="1"/>
  <c r="V448" i="1" s="1"/>
  <c r="X447" i="1"/>
  <c r="Y447" i="1" s="1"/>
  <c r="T447" i="1"/>
  <c r="X446" i="1"/>
  <c r="T446" i="1"/>
  <c r="U446" i="1" s="1"/>
  <c r="X445" i="1"/>
  <c r="T445" i="1"/>
  <c r="V445" i="1" s="1"/>
  <c r="X444" i="1"/>
  <c r="T444" i="1"/>
  <c r="X443" i="1"/>
  <c r="T443" i="1"/>
  <c r="U443" i="1" s="1"/>
  <c r="X442" i="1"/>
  <c r="Y442" i="1" s="1"/>
  <c r="T442" i="1"/>
  <c r="V442" i="1" s="1"/>
  <c r="X441" i="1"/>
  <c r="T441" i="1"/>
  <c r="V441" i="1" s="1"/>
  <c r="X440" i="1"/>
  <c r="Y440" i="1" s="1"/>
  <c r="X439" i="1"/>
  <c r="Y439" i="1" s="1"/>
  <c r="T439" i="1"/>
  <c r="V439" i="1" s="1"/>
  <c r="T435" i="1"/>
  <c r="U435" i="1" s="1"/>
  <c r="T434" i="1"/>
  <c r="V434" i="1" s="1"/>
  <c r="T433" i="1"/>
  <c r="V433" i="1" s="1"/>
  <c r="X432" i="1"/>
  <c r="T432" i="1"/>
  <c r="V432" i="1" s="1"/>
  <c r="X430" i="1"/>
  <c r="T430" i="1"/>
  <c r="V430" i="1" s="1"/>
  <c r="X429" i="1"/>
  <c r="T429" i="1"/>
  <c r="V429" i="1" s="1"/>
  <c r="X428" i="1"/>
  <c r="T428" i="1"/>
  <c r="U428" i="1" s="1"/>
  <c r="B428" i="1"/>
  <c r="B455" i="1" s="1"/>
  <c r="B465" i="1" s="1"/>
  <c r="B466" i="1" s="1"/>
  <c r="X427" i="1"/>
  <c r="T427" i="1"/>
  <c r="V427" i="1" s="1"/>
  <c r="X426" i="1"/>
  <c r="Y426" i="1" s="1"/>
  <c r="T426" i="1"/>
  <c r="V426" i="1" s="1"/>
  <c r="X425" i="1"/>
  <c r="Y425" i="1" s="1"/>
  <c r="T425" i="1"/>
  <c r="U425" i="1" s="1"/>
  <c r="X424" i="1"/>
  <c r="T424" i="1"/>
  <c r="V424" i="1" s="1"/>
  <c r="W455" i="1"/>
  <c r="W465" i="1" s="1"/>
  <c r="T423" i="1"/>
  <c r="V423" i="1" s="1"/>
  <c r="X422" i="1"/>
  <c r="T422" i="1"/>
  <c r="V422" i="1" s="1"/>
  <c r="T421" i="1"/>
  <c r="V421" i="1" s="1"/>
  <c r="T419" i="1"/>
  <c r="V419" i="1" s="1"/>
  <c r="T417" i="1"/>
  <c r="V417" i="1" s="1"/>
  <c r="X416" i="1"/>
  <c r="T416" i="1"/>
  <c r="V416" i="1" s="1"/>
  <c r="X415" i="1"/>
  <c r="T415" i="1"/>
  <c r="V415" i="1" s="1"/>
  <c r="X414" i="1"/>
  <c r="T414" i="1"/>
  <c r="V414" i="1" s="1"/>
  <c r="X413" i="1"/>
  <c r="T413" i="1"/>
  <c r="U413" i="1" s="1"/>
  <c r="X412" i="1"/>
  <c r="T412" i="1"/>
  <c r="V412" i="1" s="1"/>
  <c r="X411" i="1"/>
  <c r="T411" i="1"/>
  <c r="V411" i="1" s="1"/>
  <c r="X410" i="1"/>
  <c r="T410" i="1"/>
  <c r="V410" i="1" s="1"/>
  <c r="X409" i="1"/>
  <c r="T409" i="1"/>
  <c r="U409" i="1" s="1"/>
  <c r="X408" i="1"/>
  <c r="T408" i="1"/>
  <c r="V408" i="1" s="1"/>
  <c r="X407" i="1"/>
  <c r="T407" i="1"/>
  <c r="V407" i="1" s="1"/>
  <c r="X406" i="1"/>
  <c r="T406" i="1"/>
  <c r="U406" i="1" s="1"/>
  <c r="X405" i="1"/>
  <c r="T405" i="1"/>
  <c r="V405" i="1" s="1"/>
  <c r="X404" i="1"/>
  <c r="T404" i="1"/>
  <c r="V404" i="1" s="1"/>
  <c r="X403" i="1"/>
  <c r="T403" i="1"/>
  <c r="V403" i="1" s="1"/>
  <c r="X402" i="1"/>
  <c r="T402" i="1"/>
  <c r="V402" i="1" s="1"/>
  <c r="T401" i="1"/>
  <c r="V401" i="1" s="1"/>
  <c r="T400" i="1"/>
  <c r="U400" i="1" s="1"/>
  <c r="T399" i="1"/>
  <c r="V399" i="1" s="1"/>
  <c r="X397" i="1"/>
  <c r="Y397" i="1" s="1"/>
  <c r="X396" i="1"/>
  <c r="Y396" i="1" s="1"/>
  <c r="T396" i="1"/>
  <c r="V396" i="1" s="1"/>
  <c r="X395" i="1"/>
  <c r="Y395" i="1" s="1"/>
  <c r="T395" i="1"/>
  <c r="U395" i="1" s="1"/>
  <c r="X394" i="1"/>
  <c r="Y394" i="1" s="1"/>
  <c r="X371" i="1"/>
  <c r="X393" i="1"/>
  <c r="Y393" i="1" s="1"/>
  <c r="X392" i="1"/>
  <c r="Y392" i="1" s="1"/>
  <c r="X391" i="1"/>
  <c r="Y391" i="1" s="1"/>
  <c r="X390" i="1"/>
  <c r="Y390" i="1" s="1"/>
  <c r="X389" i="1"/>
  <c r="Y389" i="1" s="1"/>
  <c r="X388" i="1"/>
  <c r="Y388" i="1" s="1"/>
  <c r="X387" i="1"/>
  <c r="T387" i="1"/>
  <c r="V387" i="1" s="1"/>
  <c r="X386" i="1"/>
  <c r="T386" i="1"/>
  <c r="V386" i="1" s="1"/>
  <c r="X385" i="1"/>
  <c r="T385" i="1"/>
  <c r="U385" i="1" s="1"/>
  <c r="X384" i="1"/>
  <c r="Y384" i="1" s="1"/>
  <c r="X383" i="1"/>
  <c r="T383" i="1"/>
  <c r="V383" i="1" s="1"/>
  <c r="X382" i="1"/>
  <c r="Y382" i="1" s="1"/>
  <c r="X381" i="1"/>
  <c r="Y381" i="1" s="1"/>
  <c r="T381" i="1"/>
  <c r="V381" i="1" s="1"/>
  <c r="X380" i="1"/>
  <c r="Y380" i="1" s="1"/>
  <c r="X378" i="1"/>
  <c r="Y378" i="1" s="1"/>
  <c r="T378" i="1"/>
  <c r="U378" i="1" s="1"/>
  <c r="X377" i="1"/>
  <c r="Y377" i="1" s="1"/>
  <c r="X376" i="1"/>
  <c r="Y376" i="1" s="1"/>
  <c r="T376" i="1"/>
  <c r="V376" i="1" s="1"/>
  <c r="X375" i="1"/>
  <c r="T375" i="1"/>
  <c r="V375" i="1" s="1"/>
  <c r="X374" i="1"/>
  <c r="T374" i="1"/>
  <c r="V374" i="1" s="1"/>
  <c r="X373" i="1"/>
  <c r="Y373" i="1" s="1"/>
  <c r="T373" i="1"/>
  <c r="V373" i="1" s="1"/>
  <c r="X372" i="1"/>
  <c r="Y372" i="1" s="1"/>
  <c r="T372" i="1"/>
  <c r="V372" i="1" s="1"/>
  <c r="X370" i="1"/>
  <c r="Y370" i="1" s="1"/>
  <c r="T370" i="1"/>
  <c r="V370" i="1" s="1"/>
  <c r="X369" i="1"/>
  <c r="T369" i="1"/>
  <c r="V369" i="1" s="1"/>
  <c r="X368" i="1"/>
  <c r="Y368" i="1" s="1"/>
  <c r="T368" i="1"/>
  <c r="V368" i="1" s="1"/>
  <c r="X367" i="1"/>
  <c r="Y367" i="1" s="1"/>
  <c r="T367" i="1"/>
  <c r="V367" i="1" s="1"/>
  <c r="X366" i="1"/>
  <c r="Y366" i="1" s="1"/>
  <c r="X365" i="1"/>
  <c r="Y365" i="1" s="1"/>
  <c r="T365" i="1"/>
  <c r="U365" i="1" s="1"/>
  <c r="X364" i="1"/>
  <c r="T364" i="1"/>
  <c r="U364" i="1" s="1"/>
  <c r="X363" i="1"/>
  <c r="Y363" i="1" s="1"/>
  <c r="T363" i="1"/>
  <c r="V363" i="1" s="1"/>
  <c r="X362" i="1"/>
  <c r="Y362" i="1" s="1"/>
  <c r="T362" i="1"/>
  <c r="V362" i="1" s="1"/>
  <c r="X361" i="1"/>
  <c r="Y361" i="1" s="1"/>
  <c r="T361" i="1"/>
  <c r="V361" i="1" s="1"/>
  <c r="X360" i="1"/>
  <c r="Y360" i="1" s="1"/>
  <c r="T360" i="1"/>
  <c r="U360" i="1" s="1"/>
  <c r="X359" i="1"/>
  <c r="Y359" i="1" s="1"/>
  <c r="T359" i="1"/>
  <c r="V359" i="1" s="1"/>
  <c r="X358" i="1"/>
  <c r="Y358" i="1" s="1"/>
  <c r="T358" i="1"/>
  <c r="U358" i="1" s="1"/>
  <c r="X357" i="1"/>
  <c r="T357" i="1"/>
  <c r="V357" i="1" s="1"/>
  <c r="X356" i="1"/>
  <c r="Y356" i="1" s="1"/>
  <c r="T356" i="1"/>
  <c r="V356" i="1" s="1"/>
  <c r="X355" i="1"/>
  <c r="Y355" i="1" s="1"/>
  <c r="T355" i="1"/>
  <c r="U355" i="1" s="1"/>
  <c r="X354" i="1"/>
  <c r="Y354" i="1" s="1"/>
  <c r="T354" i="1"/>
  <c r="V354" i="1" s="1"/>
  <c r="X353" i="1"/>
  <c r="T353" i="1"/>
  <c r="V353" i="1" s="1"/>
  <c r="X352" i="1"/>
  <c r="Y352" i="1" s="1"/>
  <c r="X351" i="1"/>
  <c r="Y351" i="1" s="1"/>
  <c r="T351" i="1"/>
  <c r="V351" i="1" s="1"/>
  <c r="X350" i="1"/>
  <c r="Y350" i="1" s="1"/>
  <c r="X349" i="1"/>
  <c r="Y349" i="1" s="1"/>
  <c r="T349" i="1"/>
  <c r="V349" i="1" s="1"/>
  <c r="X348" i="1"/>
  <c r="Y348" i="1" s="1"/>
  <c r="X345" i="1"/>
  <c r="T345" i="1"/>
  <c r="V345" i="1" s="1"/>
  <c r="W340" i="1"/>
  <c r="S340" i="1"/>
  <c r="R340" i="1"/>
  <c r="Q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V339" i="1"/>
  <c r="V338" i="1"/>
  <c r="X337" i="1"/>
  <c r="T337" i="1"/>
  <c r="U337" i="1" s="1"/>
  <c r="X336" i="1"/>
  <c r="T336" i="1"/>
  <c r="W332" i="1"/>
  <c r="W333" i="1" s="1"/>
  <c r="S332" i="1"/>
  <c r="S333" i="1" s="1"/>
  <c r="R332" i="1"/>
  <c r="R333" i="1" s="1"/>
  <c r="Q332" i="1"/>
  <c r="Q333" i="1" s="1"/>
  <c r="O332" i="1"/>
  <c r="O333" i="1" s="1"/>
  <c r="N332" i="1"/>
  <c r="N333" i="1" s="1"/>
  <c r="M332" i="1"/>
  <c r="M333" i="1" s="1"/>
  <c r="L332" i="1"/>
  <c r="L333" i="1" s="1"/>
  <c r="K332" i="1"/>
  <c r="K333" i="1" s="1"/>
  <c r="J332" i="1"/>
  <c r="J333" i="1" s="1"/>
  <c r="I332" i="1"/>
  <c r="I333" i="1" s="1"/>
  <c r="H332" i="1"/>
  <c r="H333" i="1" s="1"/>
  <c r="G332" i="1"/>
  <c r="G333" i="1" s="1"/>
  <c r="F332" i="1"/>
  <c r="F333" i="1" s="1"/>
  <c r="E332" i="1"/>
  <c r="E333" i="1" s="1"/>
  <c r="D332" i="1"/>
  <c r="D333" i="1" s="1"/>
  <c r="C332" i="1"/>
  <c r="C333" i="1" s="1"/>
  <c r="B332" i="1"/>
  <c r="B333" i="1" s="1"/>
  <c r="X331" i="1"/>
  <c r="Y331" i="1" s="1"/>
  <c r="T331" i="1"/>
  <c r="X330" i="1"/>
  <c r="T330" i="1"/>
  <c r="X329" i="1"/>
  <c r="X328" i="1"/>
  <c r="X327" i="1"/>
  <c r="T327" i="1"/>
  <c r="X326" i="1"/>
  <c r="T326" i="1"/>
  <c r="X325" i="1"/>
  <c r="T325" i="1"/>
  <c r="X324" i="1"/>
  <c r="T324" i="1"/>
  <c r="X323" i="1"/>
  <c r="T323" i="1"/>
  <c r="X322" i="1"/>
  <c r="T322" i="1"/>
  <c r="X321" i="1"/>
  <c r="T321" i="1"/>
  <c r="X320" i="1"/>
  <c r="T320" i="1"/>
  <c r="X319" i="1"/>
  <c r="T319" i="1"/>
  <c r="X318" i="1"/>
  <c r="T318" i="1"/>
  <c r="X317" i="1"/>
  <c r="T317" i="1"/>
  <c r="X316" i="1"/>
  <c r="T316" i="1"/>
  <c r="X315" i="1"/>
  <c r="X314" i="1"/>
  <c r="Y314" i="1" s="1"/>
  <c r="X313" i="1"/>
  <c r="T313" i="1"/>
  <c r="X312" i="1"/>
  <c r="T312" i="1"/>
  <c r="X311" i="1"/>
  <c r="T311" i="1"/>
  <c r="X310" i="1"/>
  <c r="T310" i="1"/>
  <c r="X309" i="1"/>
  <c r="T309" i="1"/>
  <c r="X308" i="1"/>
  <c r="T308" i="1"/>
  <c r="X307" i="1"/>
  <c r="T307" i="1"/>
  <c r="X306" i="1"/>
  <c r="T306" i="1"/>
  <c r="X305" i="1"/>
  <c r="T305" i="1"/>
  <c r="X304" i="1"/>
  <c r="T304" i="1"/>
  <c r="X303" i="1"/>
  <c r="T303" i="1"/>
  <c r="X302" i="1"/>
  <c r="T302" i="1"/>
  <c r="X301" i="1"/>
  <c r="T301" i="1"/>
  <c r="X300" i="1"/>
  <c r="T300" i="1"/>
  <c r="X299" i="1"/>
  <c r="T299" i="1"/>
  <c r="X298" i="1"/>
  <c r="T298" i="1"/>
  <c r="X297" i="1"/>
  <c r="T297" i="1"/>
  <c r="X296" i="1"/>
  <c r="T296" i="1"/>
  <c r="O292" i="1"/>
  <c r="O293" i="1" s="1"/>
  <c r="N292" i="1"/>
  <c r="N293" i="1" s="1"/>
  <c r="M292" i="1"/>
  <c r="M293" i="1" s="1"/>
  <c r="L292" i="1"/>
  <c r="L293" i="1" s="1"/>
  <c r="K292" i="1"/>
  <c r="K293" i="1" s="1"/>
  <c r="J292" i="1"/>
  <c r="J293" i="1" s="1"/>
  <c r="I292" i="1"/>
  <c r="I293" i="1" s="1"/>
  <c r="H292" i="1"/>
  <c r="H293" i="1" s="1"/>
  <c r="G292" i="1"/>
  <c r="G293" i="1" s="1"/>
  <c r="F292" i="1"/>
  <c r="F293" i="1" s="1"/>
  <c r="E292" i="1"/>
  <c r="E293" i="1" s="1"/>
  <c r="D292" i="1"/>
  <c r="D293" i="1" s="1"/>
  <c r="C292" i="1"/>
  <c r="C293" i="1" s="1"/>
  <c r="B292" i="1"/>
  <c r="B293" i="1" s="1"/>
  <c r="X291" i="1"/>
  <c r="Y291" i="1" s="1"/>
  <c r="T291" i="1"/>
  <c r="X290" i="1"/>
  <c r="Y290" i="1" s="1"/>
  <c r="X289" i="1"/>
  <c r="Y289" i="1" s="1"/>
  <c r="T289" i="1"/>
  <c r="V289" i="1" s="1"/>
  <c r="X288" i="1"/>
  <c r="T288" i="1"/>
  <c r="V288" i="1" s="1"/>
  <c r="X286" i="1"/>
  <c r="Y286" i="1" s="1"/>
  <c r="X285" i="1"/>
  <c r="T285" i="1"/>
  <c r="V285" i="1" s="1"/>
  <c r="X284" i="1"/>
  <c r="Y284" i="1" s="1"/>
  <c r="X283" i="1"/>
  <c r="Y283" i="1" s="1"/>
  <c r="T283" i="1"/>
  <c r="V283" i="1" s="1"/>
  <c r="X282" i="1"/>
  <c r="Y282" i="1" s="1"/>
  <c r="T282" i="1"/>
  <c r="W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X276" i="1"/>
  <c r="T276" i="1"/>
  <c r="U276" i="1" s="1"/>
  <c r="X275" i="1"/>
  <c r="T275" i="1"/>
  <c r="V275" i="1" s="1"/>
  <c r="X274" i="1"/>
  <c r="W270" i="1"/>
  <c r="S270" i="1"/>
  <c r="R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X269" i="1"/>
  <c r="T269" i="1"/>
  <c r="V269" i="1" s="1"/>
  <c r="X268" i="1"/>
  <c r="T268" i="1"/>
  <c r="J265" i="1"/>
  <c r="I265" i="1"/>
  <c r="H265" i="1"/>
  <c r="G265" i="1"/>
  <c r="F265" i="1"/>
  <c r="E265" i="1"/>
  <c r="D265" i="1"/>
  <c r="C265" i="1"/>
  <c r="B265" i="1"/>
  <c r="W265" i="1"/>
  <c r="W260" i="1"/>
  <c r="S260" i="1"/>
  <c r="R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X259" i="1"/>
  <c r="T259" i="1"/>
  <c r="U259" i="1" s="1"/>
  <c r="U260" i="1" s="1"/>
  <c r="Q259" i="1"/>
  <c r="Q260" i="1" s="1"/>
  <c r="W256" i="1"/>
  <c r="S256" i="1"/>
  <c r="R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X255" i="1"/>
  <c r="Y255" i="1" s="1"/>
  <c r="T255" i="1"/>
  <c r="U255" i="1" s="1"/>
  <c r="U256" i="1" s="1"/>
  <c r="R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X249" i="1"/>
  <c r="T249" i="1"/>
  <c r="V249" i="1" s="1"/>
  <c r="X247" i="1"/>
  <c r="Y247" i="1" s="1"/>
  <c r="T247" i="1"/>
  <c r="U247" i="1" s="1"/>
  <c r="X246" i="1"/>
  <c r="Y246" i="1" s="1"/>
  <c r="X245" i="1"/>
  <c r="T245" i="1"/>
  <c r="U245" i="1" s="1"/>
  <c r="X244" i="1"/>
  <c r="T244" i="1"/>
  <c r="V244" i="1" s="1"/>
  <c r="X243" i="1"/>
  <c r="Y243" i="1" s="1"/>
  <c r="W240" i="1"/>
  <c r="S240" i="1"/>
  <c r="R240" i="1"/>
  <c r="O240" i="1"/>
  <c r="N240" i="1"/>
  <c r="M240" i="1"/>
  <c r="L240" i="1"/>
  <c r="K240" i="1"/>
  <c r="J240" i="1"/>
  <c r="I240" i="1"/>
  <c r="H240" i="1"/>
  <c r="G240" i="1"/>
  <c r="F240" i="1"/>
  <c r="E240" i="1"/>
  <c r="X239" i="1"/>
  <c r="Y239" i="1" s="1"/>
  <c r="S236" i="1"/>
  <c r="R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X235" i="1"/>
  <c r="Y235" i="1" s="1"/>
  <c r="T235" i="1"/>
  <c r="V235" i="1" s="1"/>
  <c r="X234" i="1"/>
  <c r="T234" i="1"/>
  <c r="V234" i="1" s="1"/>
  <c r="X233" i="1"/>
  <c r="T233" i="1"/>
  <c r="V233" i="1" s="1"/>
  <c r="X232" i="1"/>
  <c r="Y232" i="1" s="1"/>
  <c r="T232" i="1"/>
  <c r="V232" i="1" s="1"/>
  <c r="W228" i="1"/>
  <c r="R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X227" i="1"/>
  <c r="Y227" i="1" s="1"/>
  <c r="T227" i="1"/>
  <c r="V227" i="1" s="1"/>
  <c r="X226" i="1"/>
  <c r="T226" i="1"/>
  <c r="U226" i="1" s="1"/>
  <c r="T225" i="1"/>
  <c r="V225" i="1" s="1"/>
  <c r="X224" i="1"/>
  <c r="Y224" i="1" s="1"/>
  <c r="W221" i="1"/>
  <c r="R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X220" i="1"/>
  <c r="T220" i="1"/>
  <c r="U220" i="1" s="1"/>
  <c r="X219" i="1"/>
  <c r="T219" i="1"/>
  <c r="V219" i="1" s="1"/>
  <c r="X218" i="1"/>
  <c r="Y218" i="1" s="1"/>
  <c r="T218" i="1"/>
  <c r="X217" i="1"/>
  <c r="Y217" i="1" s="1"/>
  <c r="X216" i="1"/>
  <c r="Y216" i="1" s="1"/>
  <c r="T216" i="1"/>
  <c r="V216" i="1" s="1"/>
  <c r="X215" i="1"/>
  <c r="Y215" i="1" s="1"/>
  <c r="T215" i="1"/>
  <c r="V215" i="1" s="1"/>
  <c r="X214" i="1"/>
  <c r="Y214" i="1" s="1"/>
  <c r="X213" i="1"/>
  <c r="W210" i="1"/>
  <c r="R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X209" i="1"/>
  <c r="Y209" i="1" s="1"/>
  <c r="T209" i="1"/>
  <c r="T208" i="1"/>
  <c r="R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X201" i="1"/>
  <c r="T201" i="1"/>
  <c r="U201" i="1" s="1"/>
  <c r="W202" i="1"/>
  <c r="W197" i="1"/>
  <c r="S197" i="1"/>
  <c r="R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X196" i="1"/>
  <c r="X197" i="1" s="1"/>
  <c r="T196" i="1"/>
  <c r="T197" i="1" s="1"/>
  <c r="R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T192" i="1"/>
  <c r="V192" i="1" s="1"/>
  <c r="X191" i="1"/>
  <c r="Y191" i="1" s="1"/>
  <c r="T191" i="1"/>
  <c r="V191" i="1" s="1"/>
  <c r="X190" i="1"/>
  <c r="Y190" i="1" s="1"/>
  <c r="T190" i="1"/>
  <c r="V190" i="1" s="1"/>
  <c r="X188" i="1"/>
  <c r="T188" i="1"/>
  <c r="W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X183" i="1"/>
  <c r="Y183" i="1" s="1"/>
  <c r="T183" i="1"/>
  <c r="U183" i="1" s="1"/>
  <c r="T182" i="1"/>
  <c r="V182" i="1" s="1"/>
  <c r="X181" i="1"/>
  <c r="Y181" i="1" s="1"/>
  <c r="X180" i="1"/>
  <c r="T180" i="1"/>
  <c r="U180" i="1" s="1"/>
  <c r="T179" i="1"/>
  <c r="U179" i="1" s="1"/>
  <c r="T178" i="1"/>
  <c r="V178" i="1" s="1"/>
  <c r="X177" i="1"/>
  <c r="T177" i="1"/>
  <c r="X176" i="1"/>
  <c r="T176" i="1"/>
  <c r="V176" i="1" s="1"/>
  <c r="X175" i="1"/>
  <c r="Y175" i="1" s="1"/>
  <c r="Y166" i="1"/>
  <c r="Y167" i="1" s="1"/>
  <c r="S166" i="1"/>
  <c r="S167" i="1" s="1"/>
  <c r="R166" i="1"/>
  <c r="R167" i="1" s="1"/>
  <c r="Q166" i="1"/>
  <c r="Q167" i="1" s="1"/>
  <c r="O166" i="1"/>
  <c r="O167" i="1" s="1"/>
  <c r="N166" i="1"/>
  <c r="N167" i="1" s="1"/>
  <c r="M166" i="1"/>
  <c r="M167" i="1" s="1"/>
  <c r="L166" i="1"/>
  <c r="L167" i="1" s="1"/>
  <c r="K166" i="1"/>
  <c r="K167" i="1" s="1"/>
  <c r="J166" i="1"/>
  <c r="J167" i="1" s="1"/>
  <c r="I166" i="1"/>
  <c r="I167" i="1" s="1"/>
  <c r="H166" i="1"/>
  <c r="H167" i="1" s="1"/>
  <c r="G166" i="1"/>
  <c r="G167" i="1" s="1"/>
  <c r="F166" i="1"/>
  <c r="F167" i="1" s="1"/>
  <c r="E166" i="1"/>
  <c r="E167" i="1" s="1"/>
  <c r="D166" i="1"/>
  <c r="D167" i="1" s="1"/>
  <c r="C166" i="1"/>
  <c r="C167" i="1" s="1"/>
  <c r="B166" i="1"/>
  <c r="B167" i="1" s="1"/>
  <c r="X165" i="1"/>
  <c r="X166" i="1" s="1"/>
  <c r="X167" i="1" s="1"/>
  <c r="T165" i="1"/>
  <c r="V165" i="1" s="1"/>
  <c r="V166" i="1" s="1"/>
  <c r="V167" i="1" s="1"/>
  <c r="V160" i="1"/>
  <c r="Y159" i="1"/>
  <c r="X159" i="1"/>
  <c r="W159" i="1"/>
  <c r="U159" i="1"/>
  <c r="T159" i="1"/>
  <c r="V159" i="1" s="1"/>
  <c r="S159" i="1"/>
  <c r="R159" i="1"/>
  <c r="N159" i="1"/>
  <c r="M159" i="1"/>
  <c r="L159" i="1"/>
  <c r="K159" i="1"/>
  <c r="H159" i="1"/>
  <c r="G159" i="1"/>
  <c r="F159" i="1"/>
  <c r="E159" i="1"/>
  <c r="D159" i="1"/>
  <c r="C159" i="1"/>
  <c r="B159" i="1"/>
  <c r="W155" i="1"/>
  <c r="R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X154" i="1"/>
  <c r="Y154" i="1" s="1"/>
  <c r="X153" i="1"/>
  <c r="T153" i="1"/>
  <c r="V153" i="1" s="1"/>
  <c r="X152" i="1"/>
  <c r="Y152" i="1" s="1"/>
  <c r="X151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X147" i="1"/>
  <c r="Y147" i="1" s="1"/>
  <c r="T147" i="1"/>
  <c r="U147" i="1" s="1"/>
  <c r="X146" i="1"/>
  <c r="Y146" i="1" s="1"/>
  <c r="T146" i="1"/>
  <c r="X145" i="1"/>
  <c r="Y145" i="1" s="1"/>
  <c r="X144" i="1"/>
  <c r="Y144" i="1" s="1"/>
  <c r="T144" i="1"/>
  <c r="X143" i="1"/>
  <c r="Y143" i="1" s="1"/>
  <c r="V142" i="1"/>
  <c r="X141" i="1"/>
  <c r="Y141" i="1" s="1"/>
  <c r="X140" i="1"/>
  <c r="Y140" i="1" s="1"/>
  <c r="T140" i="1"/>
  <c r="U140" i="1" s="1"/>
  <c r="X139" i="1"/>
  <c r="Y139" i="1" s="1"/>
  <c r="T139" i="1"/>
  <c r="U139" i="1" s="1"/>
  <c r="X138" i="1"/>
  <c r="Y138" i="1" s="1"/>
  <c r="T138" i="1"/>
  <c r="X137" i="1"/>
  <c r="Y137" i="1" s="1"/>
  <c r="T137" i="1"/>
  <c r="X136" i="1"/>
  <c r="Y136" i="1" s="1"/>
  <c r="T136" i="1"/>
  <c r="X135" i="1"/>
  <c r="Y135" i="1" s="1"/>
  <c r="T135" i="1"/>
  <c r="X134" i="1"/>
  <c r="Y134" i="1" s="1"/>
  <c r="X133" i="1"/>
  <c r="Y133" i="1" s="1"/>
  <c r="T133" i="1"/>
  <c r="U133" i="1" s="1"/>
  <c r="X132" i="1"/>
  <c r="Y132" i="1" s="1"/>
  <c r="X131" i="1"/>
  <c r="Y131" i="1" s="1"/>
  <c r="T131" i="1"/>
  <c r="X130" i="1"/>
  <c r="Y130" i="1" s="1"/>
  <c r="T130" i="1"/>
  <c r="X129" i="1"/>
  <c r="Y129" i="1" s="1"/>
  <c r="T129" i="1"/>
  <c r="U129" i="1" s="1"/>
  <c r="X128" i="1"/>
  <c r="Y128" i="1" s="1"/>
  <c r="T128" i="1"/>
  <c r="U128" i="1" s="1"/>
  <c r="X127" i="1"/>
  <c r="Y127" i="1" s="1"/>
  <c r="T127" i="1"/>
  <c r="U127" i="1" s="1"/>
  <c r="X126" i="1"/>
  <c r="Y126" i="1" s="1"/>
  <c r="T126" i="1"/>
  <c r="U126" i="1" s="1"/>
  <c r="X124" i="1"/>
  <c r="Y124" i="1" s="1"/>
  <c r="X123" i="1"/>
  <c r="Y123" i="1" s="1"/>
  <c r="Y122" i="1"/>
  <c r="T122" i="1"/>
  <c r="U122" i="1" s="1"/>
  <c r="X121" i="1"/>
  <c r="Y121" i="1" s="1"/>
  <c r="X120" i="1"/>
  <c r="Y120" i="1" s="1"/>
  <c r="X119" i="1"/>
  <c r="Y119" i="1" s="1"/>
  <c r="X118" i="1"/>
  <c r="Y118" i="1" s="1"/>
  <c r="T118" i="1"/>
  <c r="X117" i="1"/>
  <c r="Y117" i="1" s="1"/>
  <c r="T115" i="1"/>
  <c r="U115" i="1" s="1"/>
  <c r="T114" i="1"/>
  <c r="T108" i="1"/>
  <c r="X106" i="1"/>
  <c r="Y106" i="1" s="1"/>
  <c r="S103" i="1"/>
  <c r="J103" i="1"/>
  <c r="I103" i="1"/>
  <c r="H103" i="1"/>
  <c r="G103" i="1"/>
  <c r="F103" i="1"/>
  <c r="E103" i="1"/>
  <c r="D103" i="1"/>
  <c r="C103" i="1"/>
  <c r="B103" i="1"/>
  <c r="T102" i="1"/>
  <c r="U102" i="1" s="1"/>
  <c r="T101" i="1"/>
  <c r="U101" i="1" s="1"/>
  <c r="T99" i="1"/>
  <c r="U99" i="1" s="1"/>
  <c r="T98" i="1"/>
  <c r="V98" i="1" s="1"/>
  <c r="X97" i="1"/>
  <c r="Y97" i="1" s="1"/>
  <c r="T97" i="1"/>
  <c r="V97" i="1" s="1"/>
  <c r="R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X92" i="1"/>
  <c r="Y92" i="1" s="1"/>
  <c r="X91" i="1"/>
  <c r="Y91" i="1" s="1"/>
  <c r="X90" i="1"/>
  <c r="Y90" i="1" s="1"/>
  <c r="X89" i="1"/>
  <c r="Y89" i="1" s="1"/>
  <c r="X88" i="1"/>
  <c r="T88" i="1"/>
  <c r="V88" i="1" s="1"/>
  <c r="X87" i="1"/>
  <c r="T87" i="1"/>
  <c r="U87" i="1" s="1"/>
  <c r="X86" i="1"/>
  <c r="Y86" i="1" s="1"/>
  <c r="X85" i="1"/>
  <c r="Y85" i="1" s="1"/>
  <c r="X84" i="1"/>
  <c r="Y84" i="1" s="1"/>
  <c r="T84" i="1"/>
  <c r="V84" i="1" s="1"/>
  <c r="X83" i="1"/>
  <c r="Y83" i="1" s="1"/>
  <c r="T83" i="1"/>
  <c r="U83" i="1" s="1"/>
  <c r="X82" i="1"/>
  <c r="Y82" i="1" s="1"/>
  <c r="X81" i="1"/>
  <c r="Y81" i="1" s="1"/>
  <c r="T81" i="1"/>
  <c r="V81" i="1" s="1"/>
  <c r="X80" i="1"/>
  <c r="Y80" i="1" s="1"/>
  <c r="X79" i="1"/>
  <c r="Y79" i="1" s="1"/>
  <c r="W74" i="1"/>
  <c r="S74" i="1"/>
  <c r="R74" i="1"/>
  <c r="O74" i="1"/>
  <c r="M74" i="1"/>
  <c r="L74" i="1"/>
  <c r="K74" i="1"/>
  <c r="J74" i="1"/>
  <c r="I74" i="1"/>
  <c r="H74" i="1"/>
  <c r="G74" i="1"/>
  <c r="F74" i="1"/>
  <c r="E74" i="1"/>
  <c r="D74" i="1"/>
  <c r="C74" i="1"/>
  <c r="B74" i="1"/>
  <c r="X73" i="1"/>
  <c r="X74" i="1" s="1"/>
  <c r="T73" i="1"/>
  <c r="U73" i="1" s="1"/>
  <c r="U74" i="1" s="1"/>
  <c r="R69" i="1"/>
  <c r="Q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W63" i="1"/>
  <c r="R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W52" i="1"/>
  <c r="R52" i="1"/>
  <c r="Q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X51" i="1"/>
  <c r="V51" i="1"/>
  <c r="X50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X46" i="1"/>
  <c r="T46" i="1"/>
  <c r="V46" i="1" s="1"/>
  <c r="X45" i="1"/>
  <c r="Y45" i="1" s="1"/>
  <c r="W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X41" i="1"/>
  <c r="Y41" i="1" s="1"/>
  <c r="X40" i="1"/>
  <c r="X39" i="1"/>
  <c r="T39" i="1"/>
  <c r="X38" i="1"/>
  <c r="Y38" i="1" s="1"/>
  <c r="X37" i="1"/>
  <c r="R32" i="1"/>
  <c r="R33" i="1" s="1"/>
  <c r="O32" i="1"/>
  <c r="O33" i="1" s="1"/>
  <c r="N32" i="1"/>
  <c r="N33" i="1" s="1"/>
  <c r="M32" i="1"/>
  <c r="M33" i="1" s="1"/>
  <c r="L32" i="1"/>
  <c r="L33" i="1" s="1"/>
  <c r="K32" i="1"/>
  <c r="K33" i="1" s="1"/>
  <c r="J32" i="1"/>
  <c r="J33" i="1" s="1"/>
  <c r="I32" i="1"/>
  <c r="I33" i="1" s="1"/>
  <c r="H32" i="1"/>
  <c r="H33" i="1" s="1"/>
  <c r="G32" i="1"/>
  <c r="G33" i="1" s="1"/>
  <c r="F32" i="1"/>
  <c r="F33" i="1" s="1"/>
  <c r="E32" i="1"/>
  <c r="E33" i="1" s="1"/>
  <c r="D32" i="1"/>
  <c r="D33" i="1" s="1"/>
  <c r="C32" i="1"/>
  <c r="C33" i="1" s="1"/>
  <c r="B32" i="1"/>
  <c r="B33" i="1" s="1"/>
  <c r="X30" i="1"/>
  <c r="T30" i="1"/>
  <c r="V30" i="1" s="1"/>
  <c r="X29" i="1"/>
  <c r="Y29" i="1" s="1"/>
  <c r="W24" i="1"/>
  <c r="W25" i="1" s="1"/>
  <c r="R24" i="1"/>
  <c r="R25" i="1" s="1"/>
  <c r="O24" i="1"/>
  <c r="O25" i="1" s="1"/>
  <c r="N24" i="1"/>
  <c r="N25" i="1" s="1"/>
  <c r="M24" i="1"/>
  <c r="M25" i="1" s="1"/>
  <c r="L24" i="1"/>
  <c r="L25" i="1" s="1"/>
  <c r="K24" i="1"/>
  <c r="K25" i="1" s="1"/>
  <c r="J24" i="1"/>
  <c r="J25" i="1" s="1"/>
  <c r="I24" i="1"/>
  <c r="I25" i="1" s="1"/>
  <c r="H24" i="1"/>
  <c r="H25" i="1" s="1"/>
  <c r="G24" i="1"/>
  <c r="G25" i="1" s="1"/>
  <c r="F24" i="1"/>
  <c r="F25" i="1" s="1"/>
  <c r="E24" i="1"/>
  <c r="E25" i="1" s="1"/>
  <c r="D24" i="1"/>
  <c r="D25" i="1" s="1"/>
  <c r="C24" i="1"/>
  <c r="C25" i="1" s="1"/>
  <c r="B24" i="1"/>
  <c r="B25" i="1" s="1"/>
  <c r="X23" i="1"/>
  <c r="Y23" i="1" s="1"/>
  <c r="X22" i="1"/>
  <c r="T22" i="1"/>
  <c r="U22" i="1" s="1"/>
  <c r="X21" i="1"/>
  <c r="Y21" i="1" s="1"/>
  <c r="X20" i="1"/>
  <c r="Y20" i="1" s="1"/>
  <c r="X19" i="1"/>
  <c r="T19" i="1"/>
  <c r="V19" i="1" s="1"/>
  <c r="X18" i="1"/>
  <c r="W13" i="1"/>
  <c r="W14" i="1" s="1"/>
  <c r="N13" i="1"/>
  <c r="N14" i="1" s="1"/>
  <c r="M13" i="1"/>
  <c r="M14" i="1" s="1"/>
  <c r="L13" i="1"/>
  <c r="L14" i="1" s="1"/>
  <c r="K13" i="1"/>
  <c r="K14" i="1" s="1"/>
  <c r="J13" i="1"/>
  <c r="J14" i="1" s="1"/>
  <c r="I13" i="1"/>
  <c r="I14" i="1" s="1"/>
  <c r="H13" i="1"/>
  <c r="H14" i="1" s="1"/>
  <c r="G13" i="1"/>
  <c r="G14" i="1" s="1"/>
  <c r="F13" i="1"/>
  <c r="F14" i="1" s="1"/>
  <c r="E13" i="1"/>
  <c r="E14" i="1" s="1"/>
  <c r="D13" i="1"/>
  <c r="D14" i="1" s="1"/>
  <c r="C13" i="1"/>
  <c r="C14" i="1" s="1"/>
  <c r="B13" i="1"/>
  <c r="B14" i="1" s="1"/>
  <c r="X12" i="1"/>
  <c r="Y12" i="1" s="1"/>
  <c r="T12" i="1"/>
  <c r="U12" i="1" s="1"/>
  <c r="X11" i="1"/>
  <c r="Y11" i="1" s="1"/>
  <c r="U438" i="1" l="1"/>
  <c r="P161" i="1"/>
  <c r="P278" i="1"/>
  <c r="P70" i="1"/>
  <c r="R184" i="1"/>
  <c r="R203" i="1" s="1"/>
  <c r="P251" i="1"/>
  <c r="P53" i="1"/>
  <c r="Q161" i="1"/>
  <c r="T107" i="1"/>
  <c r="V107" i="1" s="1"/>
  <c r="V287" i="1"/>
  <c r="U287" i="1"/>
  <c r="W193" i="1"/>
  <c r="W203" i="1" s="1"/>
  <c r="X189" i="1"/>
  <c r="Y189" i="1" s="1"/>
  <c r="V310" i="1"/>
  <c r="U310" i="1"/>
  <c r="V309" i="1"/>
  <c r="U309" i="1"/>
  <c r="V308" i="1"/>
  <c r="U308" i="1"/>
  <c r="V307" i="1"/>
  <c r="U307" i="1"/>
  <c r="V306" i="1"/>
  <c r="U306" i="1"/>
  <c r="V305" i="1"/>
  <c r="U305" i="1"/>
  <c r="V304" i="1"/>
  <c r="U304" i="1"/>
  <c r="V303" i="1"/>
  <c r="U303" i="1"/>
  <c r="V302" i="1"/>
  <c r="U302" i="1"/>
  <c r="V301" i="1"/>
  <c r="U301" i="1"/>
  <c r="V300" i="1"/>
  <c r="U300" i="1"/>
  <c r="V299" i="1"/>
  <c r="U299" i="1"/>
  <c r="V298" i="1"/>
  <c r="U298" i="1"/>
  <c r="V297" i="1"/>
  <c r="U297" i="1"/>
  <c r="V116" i="1"/>
  <c r="U116" i="1"/>
  <c r="V315" i="1"/>
  <c r="U315" i="1"/>
  <c r="V328" i="1"/>
  <c r="U328" i="1"/>
  <c r="U329" i="1"/>
  <c r="V329" i="1"/>
  <c r="U314" i="1"/>
  <c r="V314" i="1"/>
  <c r="T224" i="1"/>
  <c r="U224" i="1" s="1"/>
  <c r="S228" i="1"/>
  <c r="V145" i="1"/>
  <c r="U145" i="1"/>
  <c r="V143" i="1"/>
  <c r="U143" i="1"/>
  <c r="V132" i="1"/>
  <c r="U132" i="1"/>
  <c r="V125" i="1"/>
  <c r="U125" i="1"/>
  <c r="V124" i="1"/>
  <c r="U124" i="1"/>
  <c r="V123" i="1"/>
  <c r="U123" i="1"/>
  <c r="V119" i="1"/>
  <c r="U119" i="1"/>
  <c r="V331" i="1"/>
  <c r="U331" i="1"/>
  <c r="V330" i="1"/>
  <c r="U330" i="1"/>
  <c r="V327" i="1"/>
  <c r="U327" i="1"/>
  <c r="U326" i="1"/>
  <c r="V326" i="1"/>
  <c r="U325" i="1"/>
  <c r="V325" i="1"/>
  <c r="U324" i="1"/>
  <c r="V324" i="1"/>
  <c r="V323" i="1"/>
  <c r="U323" i="1"/>
  <c r="V322" i="1"/>
  <c r="U322" i="1"/>
  <c r="V321" i="1"/>
  <c r="U321" i="1"/>
  <c r="V320" i="1"/>
  <c r="U320" i="1"/>
  <c r="V319" i="1"/>
  <c r="U319" i="1"/>
  <c r="V318" i="1"/>
  <c r="U318" i="1"/>
  <c r="U317" i="1"/>
  <c r="V317" i="1"/>
  <c r="U316" i="1"/>
  <c r="V316" i="1"/>
  <c r="U313" i="1"/>
  <c r="V313" i="1"/>
  <c r="U312" i="1"/>
  <c r="V312" i="1"/>
  <c r="U311" i="1"/>
  <c r="V311" i="1"/>
  <c r="V146" i="1"/>
  <c r="U146" i="1"/>
  <c r="V144" i="1"/>
  <c r="U144" i="1"/>
  <c r="V138" i="1"/>
  <c r="U138" i="1"/>
  <c r="V137" i="1"/>
  <c r="U137" i="1"/>
  <c r="V136" i="1"/>
  <c r="U136" i="1"/>
  <c r="V135" i="1"/>
  <c r="U135" i="1"/>
  <c r="V134" i="1"/>
  <c r="U134" i="1"/>
  <c r="V131" i="1"/>
  <c r="U131" i="1"/>
  <c r="V130" i="1"/>
  <c r="U130" i="1"/>
  <c r="V121" i="1"/>
  <c r="U121" i="1"/>
  <c r="V118" i="1"/>
  <c r="U118" i="1"/>
  <c r="V114" i="1"/>
  <c r="U114" i="1"/>
  <c r="V112" i="1"/>
  <c r="U112" i="1"/>
  <c r="V110" i="1"/>
  <c r="U110" i="1"/>
  <c r="V109" i="1"/>
  <c r="U109" i="1"/>
  <c r="V108" i="1"/>
  <c r="U108" i="1"/>
  <c r="U107" i="1"/>
  <c r="U437" i="1"/>
  <c r="V437" i="1"/>
  <c r="V291" i="1"/>
  <c r="U291" i="1"/>
  <c r="S284" i="1"/>
  <c r="S292" i="1" s="1"/>
  <c r="S293" i="1" s="1"/>
  <c r="S277" i="1"/>
  <c r="T274" i="1"/>
  <c r="V274" i="1" s="1"/>
  <c r="S221" i="1"/>
  <c r="T214" i="1"/>
  <c r="T96" i="1"/>
  <c r="T103" i="1" s="1"/>
  <c r="R103" i="1"/>
  <c r="T380" i="1"/>
  <c r="S455" i="1"/>
  <c r="S465" i="1" s="1"/>
  <c r="S466" i="1" s="1"/>
  <c r="P203" i="1"/>
  <c r="P342" i="1" s="1"/>
  <c r="U177" i="1"/>
  <c r="V177" i="1"/>
  <c r="W292" i="1"/>
  <c r="W293" i="1" s="1"/>
  <c r="X287" i="1"/>
  <c r="T264" i="1"/>
  <c r="T265" i="1" s="1"/>
  <c r="S265" i="1"/>
  <c r="W250" i="1"/>
  <c r="W251" i="1" s="1"/>
  <c r="X248" i="1"/>
  <c r="S250" i="1"/>
  <c r="T246" i="1"/>
  <c r="V209" i="1"/>
  <c r="T210" i="1"/>
  <c r="S202" i="1"/>
  <c r="T200" i="1"/>
  <c r="S193" i="1"/>
  <c r="T189" i="1"/>
  <c r="T193" i="1" s="1"/>
  <c r="S184" i="1"/>
  <c r="T175" i="1"/>
  <c r="T184" i="1" s="1"/>
  <c r="S155" i="1"/>
  <c r="T151" i="1"/>
  <c r="R148" i="1"/>
  <c r="R161" i="1" s="1"/>
  <c r="T111" i="1"/>
  <c r="U111" i="1" s="1"/>
  <c r="S148" i="1"/>
  <c r="T106" i="1"/>
  <c r="U106" i="1" s="1"/>
  <c r="U39" i="1"/>
  <c r="V39" i="1"/>
  <c r="S52" i="1"/>
  <c r="T50" i="1"/>
  <c r="V50" i="1" s="1"/>
  <c r="V52" i="1" s="1"/>
  <c r="V20" i="1"/>
  <c r="U20" i="1"/>
  <c r="T11" i="1"/>
  <c r="S13" i="1"/>
  <c r="S14" i="1" s="1"/>
  <c r="S93" i="1"/>
  <c r="T79" i="1"/>
  <c r="T93" i="1" s="1"/>
  <c r="S69" i="1"/>
  <c r="T68" i="1"/>
  <c r="U68" i="1" s="1"/>
  <c r="U69" i="1" s="1"/>
  <c r="S63" i="1"/>
  <c r="T62" i="1"/>
  <c r="O70" i="1"/>
  <c r="R42" i="1"/>
  <c r="R53" i="1" s="1"/>
  <c r="T41" i="1"/>
  <c r="U40" i="1"/>
  <c r="V40" i="1"/>
  <c r="T37" i="1"/>
  <c r="T42" i="1" s="1"/>
  <c r="S42" i="1"/>
  <c r="S32" i="1"/>
  <c r="S33" i="1" s="1"/>
  <c r="T31" i="1"/>
  <c r="S24" i="1"/>
  <c r="S25" i="1" s="1"/>
  <c r="T23" i="1"/>
  <c r="T24" i="1" s="1"/>
  <c r="T25" i="1" s="1"/>
  <c r="Q203" i="1"/>
  <c r="Q70" i="1"/>
  <c r="R70" i="1"/>
  <c r="Q53" i="1"/>
  <c r="Q251" i="1"/>
  <c r="Q278" i="1"/>
  <c r="U346" i="1"/>
  <c r="N70" i="1"/>
  <c r="U436" i="1"/>
  <c r="K70" i="1"/>
  <c r="O161" i="1"/>
  <c r="U398" i="1"/>
  <c r="U347" i="1"/>
  <c r="L70" i="1"/>
  <c r="M70" i="1"/>
  <c r="X210" i="1"/>
  <c r="Y210" i="1" s="1"/>
  <c r="V263" i="1"/>
  <c r="U58" i="1"/>
  <c r="U59" i="1" s="1"/>
  <c r="W103" i="1"/>
  <c r="U100" i="1"/>
  <c r="T59" i="1"/>
  <c r="X236" i="1"/>
  <c r="Y236" i="1" s="1"/>
  <c r="X47" i="1"/>
  <c r="Y47" i="1" s="1"/>
  <c r="I70" i="1"/>
  <c r="U30" i="1"/>
  <c r="V220" i="1"/>
  <c r="J70" i="1"/>
  <c r="O278" i="1"/>
  <c r="J203" i="1"/>
  <c r="Y13" i="1"/>
  <c r="Y14" i="1" s="1"/>
  <c r="Y74" i="1"/>
  <c r="X68" i="1"/>
  <c r="Y68" i="1" s="1"/>
  <c r="U407" i="1"/>
  <c r="L278" i="1"/>
  <c r="O203" i="1"/>
  <c r="X277" i="1"/>
  <c r="Y277" i="1" s="1"/>
  <c r="J53" i="1"/>
  <c r="U353" i="1"/>
  <c r="U416" i="1"/>
  <c r="C161" i="1"/>
  <c r="U412" i="1"/>
  <c r="V382" i="1"/>
  <c r="V365" i="1"/>
  <c r="V446" i="1"/>
  <c r="V385" i="1"/>
  <c r="K278" i="1"/>
  <c r="V397" i="1"/>
  <c r="X240" i="1"/>
  <c r="Y240" i="1" s="1"/>
  <c r="X340" i="1"/>
  <c r="E70" i="1"/>
  <c r="V113" i="1"/>
  <c r="X193" i="1"/>
  <c r="Y193" i="1" s="1"/>
  <c r="K251" i="1"/>
  <c r="D278" i="1"/>
  <c r="V400" i="1"/>
  <c r="V409" i="1"/>
  <c r="V428" i="1"/>
  <c r="U449" i="1"/>
  <c r="U85" i="1"/>
  <c r="K203" i="1"/>
  <c r="Y188" i="1"/>
  <c r="T270" i="1"/>
  <c r="V348" i="1"/>
  <c r="U419" i="1"/>
  <c r="U154" i="1"/>
  <c r="V90" i="1"/>
  <c r="U289" i="1"/>
  <c r="V390" i="1"/>
  <c r="N53" i="1"/>
  <c r="C53" i="1"/>
  <c r="D251" i="1"/>
  <c r="U368" i="1"/>
  <c r="U401" i="1"/>
  <c r="E161" i="1"/>
  <c r="U29" i="1"/>
  <c r="K161" i="1"/>
  <c r="B203" i="1"/>
  <c r="N203" i="1"/>
  <c r="E251" i="1"/>
  <c r="T332" i="1"/>
  <c r="T333" i="1" s="1"/>
  <c r="U349" i="1"/>
  <c r="D161" i="1"/>
  <c r="E53" i="1"/>
  <c r="L161" i="1"/>
  <c r="C203" i="1"/>
  <c r="U441" i="1"/>
  <c r="U192" i="1"/>
  <c r="V141" i="1"/>
  <c r="M161" i="1"/>
  <c r="V360" i="1"/>
  <c r="V99" i="1"/>
  <c r="X13" i="1"/>
  <c r="X14" i="1" s="1"/>
  <c r="E203" i="1"/>
  <c r="X31" i="1"/>
  <c r="Y31" i="1" s="1"/>
  <c r="V89" i="1"/>
  <c r="F161" i="1"/>
  <c r="V350" i="1"/>
  <c r="V213" i="1"/>
  <c r="U370" i="1"/>
  <c r="V413" i="1"/>
  <c r="D53" i="1"/>
  <c r="D70" i="1"/>
  <c r="V122" i="1"/>
  <c r="V152" i="1"/>
  <c r="D203" i="1"/>
  <c r="J251" i="1"/>
  <c r="V245" i="1"/>
  <c r="C278" i="1"/>
  <c r="V276" i="1"/>
  <c r="V290" i="1"/>
  <c r="T340" i="1"/>
  <c r="F70" i="1"/>
  <c r="U153" i="1"/>
  <c r="M251" i="1"/>
  <c r="H203" i="1"/>
  <c r="V236" i="1"/>
  <c r="V406" i="1"/>
  <c r="I53" i="1"/>
  <c r="H70" i="1"/>
  <c r="U80" i="1"/>
  <c r="U84" i="1"/>
  <c r="V129" i="1"/>
  <c r="V133" i="1"/>
  <c r="I203" i="1"/>
  <c r="C251" i="1"/>
  <c r="O251" i="1"/>
  <c r="V247" i="1"/>
  <c r="H278" i="1"/>
  <c r="V268" i="1"/>
  <c r="V270" i="1" s="1"/>
  <c r="U359" i="1"/>
  <c r="U363" i="1"/>
  <c r="U403" i="1"/>
  <c r="U410" i="1"/>
  <c r="U422" i="1"/>
  <c r="V452" i="1"/>
  <c r="V128" i="1"/>
  <c r="V226" i="1"/>
  <c r="V425" i="1"/>
  <c r="X24" i="1"/>
  <c r="X25" i="1" s="1"/>
  <c r="Y25" i="1" s="1"/>
  <c r="U188" i="1"/>
  <c r="U191" i="1"/>
  <c r="I278" i="1"/>
  <c r="X270" i="1"/>
  <c r="Y270" i="1" s="1"/>
  <c r="V355" i="1"/>
  <c r="U375" i="1"/>
  <c r="U384" i="1"/>
  <c r="V388" i="1"/>
  <c r="V443" i="1"/>
  <c r="U374" i="1"/>
  <c r="U394" i="1"/>
  <c r="V378" i="1"/>
  <c r="V87" i="1"/>
  <c r="V101" i="1"/>
  <c r="U268" i="1"/>
  <c r="Y18" i="1"/>
  <c r="X52" i="1"/>
  <c r="Y52" i="1" s="1"/>
  <c r="K53" i="1"/>
  <c r="G161" i="1"/>
  <c r="V188" i="1"/>
  <c r="V201" i="1"/>
  <c r="X332" i="1"/>
  <c r="X333" i="1" s="1"/>
  <c r="Y333" i="1" s="1"/>
  <c r="V395" i="1"/>
  <c r="U418" i="1"/>
  <c r="V180" i="1"/>
  <c r="G278" i="1"/>
  <c r="L53" i="1"/>
  <c r="H161" i="1"/>
  <c r="W161" i="1"/>
  <c r="X184" i="1"/>
  <c r="Y184" i="1" s="1"/>
  <c r="V183" i="1"/>
  <c r="F251" i="1"/>
  <c r="R251" i="1"/>
  <c r="U233" i="1"/>
  <c r="V259" i="1"/>
  <c r="V260" i="1" s="1"/>
  <c r="U269" i="1"/>
  <c r="Y274" i="1"/>
  <c r="U285" i="1"/>
  <c r="R278" i="1"/>
  <c r="V337" i="1"/>
  <c r="H53" i="1"/>
  <c r="X221" i="1"/>
  <c r="V435" i="1"/>
  <c r="M53" i="1"/>
  <c r="I161" i="1"/>
  <c r="L203" i="1"/>
  <c r="U215" i="1"/>
  <c r="U219" i="1"/>
  <c r="G251" i="1"/>
  <c r="V255" i="1"/>
  <c r="V256" i="1" s="1"/>
  <c r="M278" i="1"/>
  <c r="V364" i="1"/>
  <c r="U381" i="1"/>
  <c r="U389" i="1"/>
  <c r="U393" i="1"/>
  <c r="U404" i="1"/>
  <c r="U415" i="1"/>
  <c r="U423" i="1"/>
  <c r="U432" i="1"/>
  <c r="F53" i="1"/>
  <c r="V358" i="1"/>
  <c r="G53" i="1"/>
  <c r="F278" i="1"/>
  <c r="U354" i="1"/>
  <c r="G70" i="1"/>
  <c r="U176" i="1"/>
  <c r="B53" i="1"/>
  <c r="B70" i="1"/>
  <c r="V140" i="1"/>
  <c r="J161" i="1"/>
  <c r="X155" i="1"/>
  <c r="Y155" i="1" s="1"/>
  <c r="M203" i="1"/>
  <c r="B278" i="1"/>
  <c r="N278" i="1"/>
  <c r="F203" i="1"/>
  <c r="E278" i="1"/>
  <c r="G203" i="1"/>
  <c r="W53" i="1"/>
  <c r="Y208" i="1"/>
  <c r="X42" i="1"/>
  <c r="Y42" i="1" s="1"/>
  <c r="O53" i="1"/>
  <c r="C70" i="1"/>
  <c r="V179" i="1"/>
  <c r="I251" i="1"/>
  <c r="U286" i="1"/>
  <c r="X96" i="1"/>
  <c r="V115" i="1"/>
  <c r="X63" i="1"/>
  <c r="V83" i="1"/>
  <c r="V12" i="1"/>
  <c r="V22" i="1"/>
  <c r="T74" i="1"/>
  <c r="X93" i="1"/>
  <c r="Y93" i="1" s="1"/>
  <c r="V126" i="1"/>
  <c r="V127" i="1"/>
  <c r="U218" i="1"/>
  <c r="V218" i="1"/>
  <c r="Y37" i="1"/>
  <c r="U88" i="1"/>
  <c r="V147" i="1"/>
  <c r="X256" i="1"/>
  <c r="W278" i="1"/>
  <c r="V18" i="1"/>
  <c r="U38" i="1"/>
  <c r="Y73" i="1"/>
  <c r="U81" i="1"/>
  <c r="U91" i="1"/>
  <c r="V102" i="1"/>
  <c r="V117" i="1"/>
  <c r="B161" i="1"/>
  <c r="N161" i="1"/>
  <c r="U377" i="1"/>
  <c r="V377" i="1"/>
  <c r="U21" i="1"/>
  <c r="U86" i="1"/>
  <c r="V120" i="1"/>
  <c r="J278" i="1"/>
  <c r="N251" i="1"/>
  <c r="U46" i="1"/>
  <c r="V73" i="1"/>
  <c r="V74" i="1" s="1"/>
  <c r="U444" i="1"/>
  <c r="V444" i="1"/>
  <c r="H251" i="1"/>
  <c r="B251" i="1"/>
  <c r="W32" i="1"/>
  <c r="W33" i="1" s="1"/>
  <c r="U239" i="1"/>
  <c r="U240" i="1" s="1"/>
  <c r="T240" i="1"/>
  <c r="V239" i="1"/>
  <c r="V240" i="1" s="1"/>
  <c r="U98" i="1"/>
  <c r="U19" i="1"/>
  <c r="T45" i="1"/>
  <c r="Y50" i="1"/>
  <c r="W69" i="1"/>
  <c r="W70" i="1" s="1"/>
  <c r="U82" i="1"/>
  <c r="U92" i="1"/>
  <c r="U97" i="1"/>
  <c r="V139" i="1"/>
  <c r="U447" i="1"/>
  <c r="V447" i="1"/>
  <c r="X148" i="1"/>
  <c r="L251" i="1"/>
  <c r="U190" i="1"/>
  <c r="U227" i="1"/>
  <c r="U248" i="1"/>
  <c r="X264" i="1"/>
  <c r="U351" i="1"/>
  <c r="U356" i="1"/>
  <c r="U361" i="1"/>
  <c r="U366" i="1"/>
  <c r="U372" i="1"/>
  <c r="U383" i="1"/>
  <c r="U391" i="1"/>
  <c r="U399" i="1"/>
  <c r="U402" i="1"/>
  <c r="U405" i="1"/>
  <c r="U408" i="1"/>
  <c r="U411" i="1"/>
  <c r="U414" i="1"/>
  <c r="U417" i="1"/>
  <c r="U421" i="1"/>
  <c r="X423" i="1"/>
  <c r="Y423" i="1" s="1"/>
  <c r="U426" i="1"/>
  <c r="U439" i="1"/>
  <c r="U450" i="1"/>
  <c r="U453" i="1"/>
  <c r="U178" i="1"/>
  <c r="U181" i="1"/>
  <c r="U196" i="1"/>
  <c r="U197" i="1" s="1"/>
  <c r="U208" i="1"/>
  <c r="Y213" i="1"/>
  <c r="U216" i="1"/>
  <c r="U243" i="1"/>
  <c r="T260" i="1"/>
  <c r="U282" i="1"/>
  <c r="U296" i="1"/>
  <c r="U386" i="1"/>
  <c r="V196" i="1"/>
  <c r="V197" i="1" s="1"/>
  <c r="V208" i="1"/>
  <c r="X228" i="1"/>
  <c r="Y228" i="1" s="1"/>
  <c r="U234" i="1"/>
  <c r="V243" i="1"/>
  <c r="V282" i="1"/>
  <c r="V296" i="1"/>
  <c r="U396" i="1"/>
  <c r="U429" i="1"/>
  <c r="U433" i="1"/>
  <c r="U442" i="1"/>
  <c r="U336" i="1"/>
  <c r="U340" i="1" s="1"/>
  <c r="U369" i="1"/>
  <c r="U424" i="1"/>
  <c r="U445" i="1"/>
  <c r="T236" i="1"/>
  <c r="V336" i="1"/>
  <c r="U448" i="1"/>
  <c r="U451" i="1"/>
  <c r="U454" i="1"/>
  <c r="T166" i="1"/>
  <c r="T167" i="1" s="1"/>
  <c r="U225" i="1"/>
  <c r="U232" i="1"/>
  <c r="U249" i="1"/>
  <c r="X260" i="1"/>
  <c r="U275" i="1"/>
  <c r="U345" i="1"/>
  <c r="U352" i="1"/>
  <c r="U357" i="1"/>
  <c r="U362" i="1"/>
  <c r="U367" i="1"/>
  <c r="U373" i="1"/>
  <c r="U387" i="1"/>
  <c r="U392" i="1"/>
  <c r="U427" i="1"/>
  <c r="U440" i="1"/>
  <c r="U182" i="1"/>
  <c r="X200" i="1"/>
  <c r="U209" i="1"/>
  <c r="U217" i="1"/>
  <c r="U235" i="1"/>
  <c r="U244" i="1"/>
  <c r="Y268" i="1"/>
  <c r="U283" i="1"/>
  <c r="U288" i="1"/>
  <c r="U376" i="1"/>
  <c r="U430" i="1"/>
  <c r="U434" i="1"/>
  <c r="Y151" i="1"/>
  <c r="T256" i="1"/>
  <c r="U165" i="1"/>
  <c r="U166" i="1" s="1"/>
  <c r="U167" i="1" s="1"/>
  <c r="T284" i="1" l="1"/>
  <c r="V284" i="1" s="1"/>
  <c r="S278" i="1"/>
  <c r="U148" i="1"/>
  <c r="V224" i="1"/>
  <c r="V228" i="1" s="1"/>
  <c r="T228" i="1"/>
  <c r="S251" i="1"/>
  <c r="O342" i="1"/>
  <c r="O467" i="1" s="1"/>
  <c r="T277" i="1"/>
  <c r="T278" i="1" s="1"/>
  <c r="U274" i="1"/>
  <c r="U277" i="1" s="1"/>
  <c r="U214" i="1"/>
  <c r="U221" i="1" s="1"/>
  <c r="V214" i="1"/>
  <c r="V221" i="1" s="1"/>
  <c r="T221" i="1"/>
  <c r="U96" i="1"/>
  <c r="U103" i="1" s="1"/>
  <c r="V96" i="1"/>
  <c r="V103" i="1" s="1"/>
  <c r="U380" i="1"/>
  <c r="U455" i="1" s="1"/>
  <c r="U465" i="1" s="1"/>
  <c r="V380" i="1"/>
  <c r="V455" i="1" s="1"/>
  <c r="V465" i="1" s="1"/>
  <c r="V466" i="1" s="1"/>
  <c r="T455" i="1"/>
  <c r="T465" i="1" s="1"/>
  <c r="T466" i="1" s="1"/>
  <c r="R342" i="1"/>
  <c r="Q342" i="1"/>
  <c r="N342" i="1"/>
  <c r="L342" i="1"/>
  <c r="M342" i="1"/>
  <c r="W342" i="1"/>
  <c r="W461" i="1" s="1"/>
  <c r="W459" i="1" s="1"/>
  <c r="S53" i="1"/>
  <c r="U264" i="1"/>
  <c r="U265" i="1" s="1"/>
  <c r="V264" i="1"/>
  <c r="V265" i="1" s="1"/>
  <c r="T13" i="1"/>
  <c r="T14" i="1" s="1"/>
  <c r="U11" i="1"/>
  <c r="U13" i="1" s="1"/>
  <c r="U14" i="1" s="1"/>
  <c r="V11" i="1"/>
  <c r="V13" i="1" s="1"/>
  <c r="V14" i="1" s="1"/>
  <c r="V79" i="1"/>
  <c r="V93" i="1" s="1"/>
  <c r="U79" i="1"/>
  <c r="U93" i="1" s="1"/>
  <c r="Y287" i="1"/>
  <c r="X292" i="1"/>
  <c r="U284" i="1"/>
  <c r="U292" i="1" s="1"/>
  <c r="Y248" i="1"/>
  <c r="X250" i="1"/>
  <c r="V246" i="1"/>
  <c r="V250" i="1" s="1"/>
  <c r="T250" i="1"/>
  <c r="U246" i="1"/>
  <c r="U250" i="1" s="1"/>
  <c r="V210" i="1"/>
  <c r="U210" i="1"/>
  <c r="T202" i="1"/>
  <c r="T203" i="1" s="1"/>
  <c r="V200" i="1"/>
  <c r="V202" i="1" s="1"/>
  <c r="U200" i="1"/>
  <c r="U202" i="1" s="1"/>
  <c r="S203" i="1"/>
  <c r="V189" i="1"/>
  <c r="V193" i="1" s="1"/>
  <c r="U189" i="1"/>
  <c r="U193" i="1" s="1"/>
  <c r="U175" i="1"/>
  <c r="U184" i="1" s="1"/>
  <c r="V175" i="1"/>
  <c r="V184" i="1" s="1"/>
  <c r="S161" i="1"/>
  <c r="V151" i="1"/>
  <c r="V155" i="1" s="1"/>
  <c r="U151" i="1"/>
  <c r="U155" i="1" s="1"/>
  <c r="T155" i="1"/>
  <c r="V111" i="1"/>
  <c r="V106" i="1"/>
  <c r="T148" i="1"/>
  <c r="U41" i="1"/>
  <c r="V41" i="1"/>
  <c r="T52" i="1"/>
  <c r="U50" i="1"/>
  <c r="U52" i="1" s="1"/>
  <c r="S70" i="1"/>
  <c r="V68" i="1"/>
  <c r="V69" i="1" s="1"/>
  <c r="T69" i="1"/>
  <c r="V62" i="1"/>
  <c r="V63" i="1" s="1"/>
  <c r="U62" i="1"/>
  <c r="U63" i="1" s="1"/>
  <c r="U70" i="1" s="1"/>
  <c r="T63" i="1"/>
  <c r="U37" i="1"/>
  <c r="V37" i="1"/>
  <c r="V31" i="1"/>
  <c r="V32" i="1" s="1"/>
  <c r="V33" i="1" s="1"/>
  <c r="U31" i="1"/>
  <c r="U32" i="1" s="1"/>
  <c r="U33" i="1" s="1"/>
  <c r="T32" i="1"/>
  <c r="T33" i="1" s="1"/>
  <c r="V23" i="1"/>
  <c r="V24" i="1" s="1"/>
  <c r="V25" i="1" s="1"/>
  <c r="U23" i="1"/>
  <c r="U24" i="1" s="1"/>
  <c r="U25" i="1" s="1"/>
  <c r="P461" i="1"/>
  <c r="P466" i="1" s="1"/>
  <c r="K342" i="1"/>
  <c r="X69" i="1"/>
  <c r="Y69" i="1" s="1"/>
  <c r="Y332" i="1"/>
  <c r="Y24" i="1"/>
  <c r="G342" i="1"/>
  <c r="G468" i="1" s="1"/>
  <c r="V277" i="1"/>
  <c r="V340" i="1"/>
  <c r="X32" i="1"/>
  <c r="Y32" i="1" s="1"/>
  <c r="C342" i="1"/>
  <c r="C468" i="1" s="1"/>
  <c r="D342" i="1"/>
  <c r="D468" i="1" s="1"/>
  <c r="X53" i="1"/>
  <c r="Y53" i="1" s="1"/>
  <c r="H342" i="1"/>
  <c r="H468" i="1" s="1"/>
  <c r="F342" i="1"/>
  <c r="F468" i="1" s="1"/>
  <c r="I342" i="1"/>
  <c r="I468" i="1" s="1"/>
  <c r="E342" i="1"/>
  <c r="E468" i="1" s="1"/>
  <c r="J342" i="1"/>
  <c r="J468" i="1" s="1"/>
  <c r="B342" i="1"/>
  <c r="B468" i="1" s="1"/>
  <c r="U270" i="1"/>
  <c r="V332" i="1"/>
  <c r="V333" i="1" s="1"/>
  <c r="U332" i="1"/>
  <c r="U333" i="1" s="1"/>
  <c r="Y264" i="1"/>
  <c r="X265" i="1"/>
  <c r="Y265" i="1" s="1"/>
  <c r="Y256" i="1"/>
  <c r="X161" i="1"/>
  <c r="Y148" i="1"/>
  <c r="Y63" i="1"/>
  <c r="U228" i="1"/>
  <c r="V45" i="1"/>
  <c r="V47" i="1" s="1"/>
  <c r="U45" i="1"/>
  <c r="U47" i="1" s="1"/>
  <c r="T47" i="1"/>
  <c r="Y96" i="1"/>
  <c r="X103" i="1"/>
  <c r="Y103" i="1" s="1"/>
  <c r="U236" i="1"/>
  <c r="Y200" i="1"/>
  <c r="X202" i="1"/>
  <c r="X455" i="1"/>
  <c r="Y161" i="1" l="1"/>
  <c r="T292" i="1"/>
  <c r="V148" i="1"/>
  <c r="V161" i="1" s="1"/>
  <c r="U293" i="1"/>
  <c r="T251" i="1"/>
  <c r="S342" i="1"/>
  <c r="V203" i="1"/>
  <c r="Y292" i="1"/>
  <c r="X293" i="1"/>
  <c r="Y293" i="1" s="1"/>
  <c r="T293" i="1"/>
  <c r="V292" i="1"/>
  <c r="V293" i="1" s="1"/>
  <c r="Y250" i="1"/>
  <c r="X251" i="1"/>
  <c r="Y251" i="1" s="1"/>
  <c r="T161" i="1"/>
  <c r="U42" i="1"/>
  <c r="U53" i="1" s="1"/>
  <c r="V42" i="1"/>
  <c r="V53" i="1" s="1"/>
  <c r="T53" i="1"/>
  <c r="T70" i="1"/>
  <c r="V70" i="1"/>
  <c r="Q468" i="1"/>
  <c r="Q467" i="1"/>
  <c r="N468" i="1"/>
  <c r="N467" i="1"/>
  <c r="L468" i="1"/>
  <c r="L467" i="1"/>
  <c r="P468" i="1"/>
  <c r="P467" i="1"/>
  <c r="M468" i="1"/>
  <c r="M467" i="1"/>
  <c r="K468" i="1"/>
  <c r="K467" i="1"/>
  <c r="R468" i="1"/>
  <c r="V278" i="1"/>
  <c r="X70" i="1"/>
  <c r="Y70" i="1" s="1"/>
  <c r="U161" i="1"/>
  <c r="X33" i="1"/>
  <c r="Y33" i="1" s="1"/>
  <c r="U461" i="1"/>
  <c r="U466" i="1" s="1"/>
  <c r="P459" i="1"/>
  <c r="X459" i="1" s="1"/>
  <c r="Y459" i="1" s="1"/>
  <c r="X278" i="1"/>
  <c r="Y278" i="1" s="1"/>
  <c r="V251" i="1"/>
  <c r="U203" i="1"/>
  <c r="U251" i="1"/>
  <c r="X461" i="1"/>
  <c r="Y461" i="1" s="1"/>
  <c r="W466" i="1"/>
  <c r="U278" i="1"/>
  <c r="Y202" i="1"/>
  <c r="X203" i="1"/>
  <c r="Y203" i="1" s="1"/>
  <c r="X465" i="1"/>
  <c r="Y455" i="1"/>
  <c r="Y465" i="1" l="1"/>
  <c r="X466" i="1"/>
  <c r="U342" i="1"/>
  <c r="T342" i="1"/>
  <c r="W468" i="1"/>
  <c r="W467" i="1"/>
  <c r="V342" i="1"/>
  <c r="S468" i="1"/>
  <c r="X342" i="1"/>
  <c r="Y342" i="1" l="1"/>
  <c r="X467" i="1"/>
  <c r="U468" i="1"/>
  <c r="T467" i="1"/>
  <c r="T478" i="1" s="1"/>
  <c r="T468" i="1"/>
  <c r="Y466" i="1"/>
  <c r="X468" i="1"/>
  <c r="Y468" i="1" l="1"/>
  <c r="V468" i="1"/>
  <c r="T471" i="1"/>
  <c r="T472" i="1" s="1"/>
</calcChain>
</file>

<file path=xl/sharedStrings.xml><?xml version="1.0" encoding="utf-8"?>
<sst xmlns="http://schemas.openxmlformats.org/spreadsheetml/2006/main" count="530" uniqueCount="457">
  <si>
    <t>VILLAGE OF GREENWOOD LAKE</t>
  </si>
  <si>
    <t>TENATIVE BUDGET</t>
  </si>
  <si>
    <t>JUNE 1, 2026 TO MAY 31, 2027</t>
  </si>
  <si>
    <t>CERTIFIED TO BE A TRUE COPY</t>
  </si>
  <si>
    <t xml:space="preserve">BUDGET </t>
  </si>
  <si>
    <t>Budget</t>
  </si>
  <si>
    <t>% Increase</t>
  </si>
  <si>
    <t xml:space="preserve">ACTUAL </t>
  </si>
  <si>
    <t>Actual</t>
  </si>
  <si>
    <t xml:space="preserve">Actual </t>
  </si>
  <si>
    <t>Adjusted</t>
  </si>
  <si>
    <t>6/25-1/26</t>
  </si>
  <si>
    <t>Projected</t>
  </si>
  <si>
    <t>Over</t>
  </si>
  <si>
    <t xml:space="preserve">Over </t>
  </si>
  <si>
    <t>OFFICER</t>
  </si>
  <si>
    <t>Increase</t>
  </si>
  <si>
    <t>(Decrease)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</si>
  <si>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</si>
  <si>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</si>
  <si>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</si>
  <si>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</si>
  <si>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</si>
  <si>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</si>
  <si>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</si>
  <si>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</si>
  <si>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</si>
  <si>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</si>
  <si>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</si>
  <si>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</si>
  <si>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</si>
  <si>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2025/2026</t>
  </si>
  <si>
    <t>2/26-5/26</t>
  </si>
  <si>
    <t>(under)</t>
  </si>
  <si>
    <t>(Under)</t>
  </si>
  <si>
    <t>12 MOS</t>
  </si>
  <si>
    <t>12 Mos</t>
  </si>
  <si>
    <t>7 months</t>
  </si>
  <si>
    <t>LEGISLATIVE</t>
  </si>
  <si>
    <t>BOARD OF TRUSTEES</t>
  </si>
  <si>
    <t xml:space="preserve">A1010.1  Personal Services  </t>
  </si>
  <si>
    <t>A1010.4  Cont. Expenses</t>
  </si>
  <si>
    <t>TOTAL</t>
  </si>
  <si>
    <t>TOTAL LEGISLATIVE</t>
  </si>
  <si>
    <t>JUDICIAL</t>
  </si>
  <si>
    <t>VILLAGE JUSTICE COURT</t>
  </si>
  <si>
    <t>A1110.1   Police Justice</t>
  </si>
  <si>
    <t>A1110.101 Court Officer</t>
  </si>
  <si>
    <t>A1110.102 Justice Ins Buy out</t>
  </si>
  <si>
    <t>A1110.103 Justice Cleaning</t>
  </si>
  <si>
    <t>A1110.201 Justice Grant Exp</t>
  </si>
  <si>
    <t>A1110.4   Contract. Expenses</t>
  </si>
  <si>
    <t>TOTAL JUDICIAL</t>
  </si>
  <si>
    <t>EXECUTIVE</t>
  </si>
  <si>
    <t>MAYOR</t>
  </si>
  <si>
    <t>A 1210.1   Personal Services</t>
  </si>
  <si>
    <t>A1210.2 Mayor Equipment</t>
  </si>
  <si>
    <t>A1210.4    Contract. Expenses</t>
  </si>
  <si>
    <t>TOTAL EXECUTIVE</t>
  </si>
  <si>
    <t>FINANCE</t>
  </si>
  <si>
    <t xml:space="preserve"> </t>
  </si>
  <si>
    <t>TREASURER</t>
  </si>
  <si>
    <t>A1325.1   Personal Service</t>
  </si>
  <si>
    <t>A1325.102 Clerk Insurance Buy Out</t>
  </si>
  <si>
    <t>A1325.2 Clerk Equipment</t>
  </si>
  <si>
    <t>A1325.358 Clerk/Treas.Records Grant</t>
  </si>
  <si>
    <t>A1325.4   Contractual Expenses</t>
  </si>
  <si>
    <t>OTHER</t>
  </si>
  <si>
    <t>A1310.4   Accounting</t>
  </si>
  <si>
    <t>A1320.4   Auditor</t>
  </si>
  <si>
    <t>ASSESSMENT</t>
  </si>
  <si>
    <t>A1355.1 Personal Services</t>
  </si>
  <si>
    <t>A1355.4 Contractual Services</t>
  </si>
  <si>
    <t>TOTAL  FINANCE</t>
  </si>
  <si>
    <t>STAFF</t>
  </si>
  <si>
    <t>LAW</t>
  </si>
  <si>
    <t>A1420.4    Contractual Expenses</t>
  </si>
  <si>
    <t>ENGINEER</t>
  </si>
  <si>
    <t xml:space="preserve">A1440.282 17A Sidewalk Project </t>
  </si>
  <si>
    <t xml:space="preserve">A1440.326 Waterstone Sidewalk </t>
  </si>
  <si>
    <t>A1440.4  Contractual Expenses</t>
  </si>
  <si>
    <t>TOTAL STAFF</t>
  </si>
  <si>
    <t>ELECTIONS</t>
  </si>
  <si>
    <t>A1450.4 Elections</t>
  </si>
  <si>
    <t>TOTAL ELECTIONS</t>
  </si>
  <si>
    <t>SHARED SERVICES</t>
  </si>
  <si>
    <t>BUILDINGS</t>
  </si>
  <si>
    <t>A1620.100 Personal Services</t>
  </si>
  <si>
    <t>A1620.101 Operation of Plant/bldgs. Janitor Community Ctr</t>
  </si>
  <si>
    <t>A1620.4 Buildings Contractual</t>
  </si>
  <si>
    <t>Could possibly lower</t>
  </si>
  <si>
    <t>A1620.402 Building Community Center</t>
  </si>
  <si>
    <t>A1620.403 Generator Expense</t>
  </si>
  <si>
    <t>A1620.410 GAS FIRE &amp; AMBULANCE</t>
  </si>
  <si>
    <t>Matches revenue</t>
  </si>
  <si>
    <t>A1620.42 Gasoline Warwick DPW</t>
  </si>
  <si>
    <t>A1680.2  Central Data Processing</t>
  </si>
  <si>
    <t>1680.201 Central Data Processing</t>
  </si>
  <si>
    <t>A1680.4  Central D.P. Contract</t>
  </si>
  <si>
    <t>1680.401 Central Data Processing: Emergency</t>
  </si>
  <si>
    <t>A1680.41 Web Design &amp; Branding</t>
  </si>
  <si>
    <t>TOTAL SHARED EXPENSES</t>
  </si>
  <si>
    <t>SPECIAL ITEMS</t>
  </si>
  <si>
    <t>A1910.4 Insurance</t>
  </si>
  <si>
    <t>A1920.4  Municipal Association Dues</t>
  </si>
  <si>
    <t>A1930.4    Judgments &amp; Claims</t>
  </si>
  <si>
    <t>A1940.4  Purchase of Property</t>
  </si>
  <si>
    <t>A1980.4 MTA Commuter Tax</t>
  </si>
  <si>
    <t>A1990.4  Contingent Account</t>
  </si>
  <si>
    <t>TOTAL SPECIAL ITEMS</t>
  </si>
  <si>
    <t>POLICE</t>
  </si>
  <si>
    <t>A3120.1    Personal Services</t>
  </si>
  <si>
    <t>A3120.101 Dispatchers</t>
  </si>
  <si>
    <t>A.3120.104 Police. DWI</t>
  </si>
  <si>
    <t>A3120.106 Janitor Police Station</t>
  </si>
  <si>
    <t xml:space="preserve">A3120.107 Cross Guard </t>
  </si>
  <si>
    <t>A3120.108 Ins Buy Out Police</t>
  </si>
  <si>
    <t>A3120.109 Police Instruction &amp; Training</t>
  </si>
  <si>
    <t>A3120.2    Police Equipment</t>
  </si>
  <si>
    <t xml:space="preserve"> A3120.203 New Alarm Computer</t>
  </si>
  <si>
    <t>A3120.345 Police PD Tech Grant</t>
  </si>
  <si>
    <t>A3120.400  Contractual Expenses</t>
  </si>
  <si>
    <t>A3120.404  Postage</t>
  </si>
  <si>
    <t>A3120.405  Office Supplies</t>
  </si>
  <si>
    <t>A3120.406 Radio Lease</t>
  </si>
  <si>
    <t>A3120.407 Telephone Service</t>
  </si>
  <si>
    <t>A3120.408 Training</t>
  </si>
  <si>
    <t>A3120.409 Gasoline</t>
  </si>
  <si>
    <t>A3120.410 Electric &amp; Gas/Utilities</t>
  </si>
  <si>
    <t>May go over budget</t>
  </si>
  <si>
    <t>3120.413 Testing &amp; Vaccinations</t>
  </si>
  <si>
    <t>A3120.415 Building Manit</t>
  </si>
  <si>
    <t>A3120.416 Tires</t>
  </si>
  <si>
    <t>A3120.417 Flares</t>
  </si>
  <si>
    <t>A3120.418 DASNY</t>
  </si>
  <si>
    <t>A3120.420 Law Books</t>
  </si>
  <si>
    <t>A3120.421 Vehicle Manit</t>
  </si>
  <si>
    <t>A3120.422 Computer</t>
  </si>
  <si>
    <t>A3120.425 Uniform Allowance</t>
  </si>
  <si>
    <t>A3120.427 Misc.</t>
  </si>
  <si>
    <t>A3120.430 Evidence/Cal</t>
  </si>
  <si>
    <t>A3120.431 Ammunition</t>
  </si>
  <si>
    <t>A3120.441 Dues</t>
  </si>
  <si>
    <t>A3120.443 Police Bullet Proof Vests</t>
  </si>
  <si>
    <t>A3120.435 Camera &amp; Generator</t>
  </si>
  <si>
    <t>3120.445 Camera &amp; Generator Exp</t>
  </si>
  <si>
    <t>Police Continued</t>
  </si>
  <si>
    <t>A3121.100 Marine PD Personal Services</t>
  </si>
  <si>
    <t>A3121.2 Marine Equipment</t>
  </si>
  <si>
    <t>A3121.4 Marine Police Contr</t>
  </si>
  <si>
    <t>A3121.401 Marine Dive Team Expenses</t>
  </si>
  <si>
    <t>A3124.4 Youth Contractual</t>
  </si>
  <si>
    <t>SAFETY INSPECTION</t>
  </si>
  <si>
    <t>A3620.1  Personal Services- Bldg. Insp.</t>
  </si>
  <si>
    <t>A.3620.102 Building Inspection insurance</t>
  </si>
  <si>
    <t>A3620.2 Bldg. Inspector Cont.</t>
  </si>
  <si>
    <t>A3620.4  Contractual Expenses</t>
  </si>
  <si>
    <t>DEMO UNSAFE BUILDINGS</t>
  </si>
  <si>
    <t>A3650.4 Property Maintenance</t>
  </si>
  <si>
    <t>TOTAL PUBLIC SAFETY</t>
  </si>
  <si>
    <t>HEALTH</t>
  </si>
  <si>
    <t>REGISTRAR OF VITAL STATISTICS</t>
  </si>
  <si>
    <t>A4020.4 Register Contractual</t>
  </si>
  <si>
    <t>TOTAL HEALTH</t>
  </si>
  <si>
    <t>TRANSPORTATION</t>
  </si>
  <si>
    <t>STREET MAINTENANCE</t>
  </si>
  <si>
    <t xml:space="preserve">A5110.1 Personal Services </t>
  </si>
  <si>
    <t>A5110.103 Insurance Buy Out</t>
  </si>
  <si>
    <t>A5110.105 Cleaning</t>
  </si>
  <si>
    <t>A5110.2    DPW Equip</t>
  </si>
  <si>
    <t>A5112.2 CHIPS Capital outlay</t>
  </si>
  <si>
    <t>A5112.201 CHIPS Operating &amp; Maintenance</t>
  </si>
  <si>
    <t>A5110.4 Street Manit Cont.</t>
  </si>
  <si>
    <t>A5110.401 Dept of Public Works Road Repair</t>
  </si>
  <si>
    <t>A5110.402 Dept of Public Works Road Improvements</t>
  </si>
  <si>
    <t>A5110.403 Dept of Public Works Sidewalks Waterstone Rd</t>
  </si>
  <si>
    <t>A5110.417 Trees</t>
  </si>
  <si>
    <t>Should we increase this</t>
  </si>
  <si>
    <t>GARAGE</t>
  </si>
  <si>
    <t>A5132.4 Garage Contractual</t>
  </si>
  <si>
    <t>A5132.411 Garage Utilities</t>
  </si>
  <si>
    <t>A5132.412 Garage Repairs</t>
  </si>
  <si>
    <t>A5132.413 Sprinkler/Generator Maintenance</t>
  </si>
  <si>
    <t>A5132.414 Garage.. Gas Tanks</t>
  </si>
  <si>
    <t>SNOW REMOVAL</t>
  </si>
  <si>
    <t>A5142.411 Salt De Icing</t>
  </si>
  <si>
    <t>STREET LIGHTING</t>
  </si>
  <si>
    <t>A5182.4  Contractual Expenses</t>
  </si>
  <si>
    <t>Around $ 5,000/month</t>
  </si>
  <si>
    <t>A5182.401 Street Lighting LED Replacement</t>
  </si>
  <si>
    <t>TOTAL TRANSPORTATION</t>
  </si>
  <si>
    <t>RECREATION ADMINISTRATION</t>
  </si>
  <si>
    <t>PARKS</t>
  </si>
  <si>
    <t>A7110.1 Beach. Personal Services</t>
  </si>
  <si>
    <t>A7110.4 Beach Contractual</t>
  </si>
  <si>
    <t>PLAYGROUND &amp; REC CENTER</t>
  </si>
  <si>
    <t>A7140.1  Personal Services</t>
  </si>
  <si>
    <t>A7140.101 Parks and Grounds</t>
  </si>
  <si>
    <t>7140.102 Parks &amp; Grounds Ins Buy Out</t>
  </si>
  <si>
    <t>A7140.200 Parks &amp; Rec Equip</t>
  </si>
  <si>
    <t>A7140.4  Contractual Expenses</t>
  </si>
  <si>
    <t>A7140.401 Parks &amp; Rec Misc.</t>
  </si>
  <si>
    <t>A7140.402 Parks Capital Improvement</t>
  </si>
  <si>
    <t>7140.403 Park Pavers</t>
  </si>
  <si>
    <t>Youth Services</t>
  </si>
  <si>
    <t>A7310.4  Contractual Expenses</t>
  </si>
  <si>
    <t>$1000 Youth dir reset supplies</t>
  </si>
  <si>
    <t>A7310.401 Youth Com. Coalition Grant</t>
  </si>
  <si>
    <t>A7310.402 Girls Softball Expenses</t>
  </si>
  <si>
    <t>A7310.403 Recreation Programs</t>
  </si>
  <si>
    <t>Museum Culture</t>
  </si>
  <si>
    <t>A7550.4 Celebrations Contractual</t>
  </si>
  <si>
    <t>A7550.401 Celebrations/ Tourism</t>
  </si>
  <si>
    <t>A7550.087 Celebrations. Holiday Festival</t>
  </si>
  <si>
    <t>A7550.416 Celebrations Frms Mkt</t>
  </si>
  <si>
    <t>Food Pantry Program</t>
  </si>
  <si>
    <t>A7610.4 Food Pantry Contractual</t>
  </si>
  <si>
    <t>ADULT RECREATION</t>
  </si>
  <si>
    <t>7620.100 Senior Citizens Pers Serv</t>
  </si>
  <si>
    <t>A7620.101 Janitor Senior Center</t>
  </si>
  <si>
    <t>A7620.2 Adult Recreation Equip.</t>
  </si>
  <si>
    <t>A7620.4 Adult Rec Cont. Exp</t>
  </si>
  <si>
    <t>A7620.402 Adult Rec utility</t>
  </si>
  <si>
    <t>7620.411 Movie Premier</t>
  </si>
  <si>
    <t>TOTAL  RECREATION</t>
  </si>
  <si>
    <t>COMMUNITY SERVICES</t>
  </si>
  <si>
    <t>ZONING</t>
  </si>
  <si>
    <t>A8010.4 Zoning Contr</t>
  </si>
  <si>
    <t>PLANNING</t>
  </si>
  <si>
    <t>A8020.4  Contractual Expenses</t>
  </si>
  <si>
    <t>Moving above</t>
  </si>
  <si>
    <t>REFUSE COLLECT/DISPOSAL</t>
  </si>
  <si>
    <t>A8160.4    Contractual Expenses</t>
  </si>
  <si>
    <t>RECYCLING</t>
  </si>
  <si>
    <t>A8510.4 Beautification</t>
  </si>
  <si>
    <t>8510.403 Community Garden Exp</t>
  </si>
  <si>
    <t>OTHER COMMUNITY SERVICES</t>
  </si>
  <si>
    <t>A8790.4 Lake Clean Up Cont. Exp.</t>
  </si>
  <si>
    <t>A8790.401 Aeration Electric</t>
  </si>
  <si>
    <t>A8790.402 Aeration Lease</t>
  </si>
  <si>
    <t xml:space="preserve">TOTAL  </t>
  </si>
  <si>
    <t>TOTAL COMMUNITY SERVICES</t>
  </si>
  <si>
    <t>EMPLOYEE BENEFITS</t>
  </si>
  <si>
    <t>A9010.8  N.Y.S. Retirement</t>
  </si>
  <si>
    <t>A9015.8  Police/Fire Retirement</t>
  </si>
  <si>
    <t xml:space="preserve">A9030.8  Social Security </t>
  </si>
  <si>
    <t>A9035.8 Medicare</t>
  </si>
  <si>
    <t>A9040.8  Worker's Compensation</t>
  </si>
  <si>
    <t>A9045.8 Life Insurance</t>
  </si>
  <si>
    <t>A9050.8  Unemployment Insurance</t>
  </si>
  <si>
    <t>A9055.8 Disability</t>
  </si>
  <si>
    <t>A9060.8  Hospital &amp; Medical</t>
  </si>
  <si>
    <t>TOTAL EMPLOYEE BENEFITS</t>
  </si>
  <si>
    <t>DEBT SERVICES</t>
  </si>
  <si>
    <t>A9730.609 Ban Chevy Lumina</t>
  </si>
  <si>
    <t>A9730.610 Bans Lions FIELD</t>
  </si>
  <si>
    <t>A9730.611 Ban Principal Property</t>
  </si>
  <si>
    <t>A9730.614 Ban DPW Equip</t>
  </si>
  <si>
    <t>A9730.620 Ban DPW Equip</t>
  </si>
  <si>
    <t>A9730.622 Ban Police Cars</t>
  </si>
  <si>
    <t>A9730.623 Ban Continental Rd Clean Up</t>
  </si>
  <si>
    <t>A9730.624 Ban VH Furnace/windows</t>
  </si>
  <si>
    <t>A9730.625 Ban OC Playground</t>
  </si>
  <si>
    <t>A9730.626 VH Stimulus Project Ban</t>
  </si>
  <si>
    <t>A9730.627 Aeration Equip Ban</t>
  </si>
  <si>
    <t>A9730.628 Ban Software Village Hall</t>
  </si>
  <si>
    <t>A9730.629 Ban Police Generator</t>
  </si>
  <si>
    <t>A9730.630 Ban Police Car #2</t>
  </si>
  <si>
    <t>A9730.631 Ban New Copier</t>
  </si>
  <si>
    <t>A9730.632 Ban. Police Car</t>
  </si>
  <si>
    <t>A9730.633 Ban. Police Car 4</t>
  </si>
  <si>
    <t>A9730.634 Ban 2020 Police Cars</t>
  </si>
  <si>
    <t xml:space="preserve">A9730.637 Ban </t>
  </si>
  <si>
    <t>A9730.710 Bans Lions Field</t>
  </si>
  <si>
    <t>A9730.711 Ban Principal Property</t>
  </si>
  <si>
    <t>A9730.715 Ban Principal- Trackless</t>
  </si>
  <si>
    <t>A9730.722 Ban Interest Police Cars</t>
  </si>
  <si>
    <t>A9730.723 Ban Interest Continental Road</t>
  </si>
  <si>
    <t>A9730.724 Ban VH Furnace Interest</t>
  </si>
  <si>
    <t>A9730.725 Ban OC Playground Interest</t>
  </si>
  <si>
    <t>A9730.726 Vh Stimulus Ban Int</t>
  </si>
  <si>
    <t>A9730.727 Aeration Int</t>
  </si>
  <si>
    <t>A9730.728 Ban Interest Village Hall Software</t>
  </si>
  <si>
    <t>A9730.729 Ban Interest Police Generator</t>
  </si>
  <si>
    <t>A970.730 Ban Ban Police Car</t>
  </si>
  <si>
    <t>A9730.731 Ban New Copier Interest</t>
  </si>
  <si>
    <t>A9730.732 Ban Police Car Int</t>
  </si>
  <si>
    <t>A9730.733 Ban Police Car 4 Int</t>
  </si>
  <si>
    <t>A9730.734 Ban Interest Police Cars</t>
  </si>
  <si>
    <t>A9730.737 Ban  Int</t>
  </si>
  <si>
    <t>TOTAL DEBT SERVICE</t>
  </si>
  <si>
    <t>TRANSFER</t>
  </si>
  <si>
    <t>A9950.9 Transfer Capital fund</t>
  </si>
  <si>
    <t>A9953.9 Transfer Comm Devel</t>
  </si>
  <si>
    <t>A9953.903 Transfer to CP Library Lot</t>
  </si>
  <si>
    <t>A9953.904 Transfer CP H23</t>
  </si>
  <si>
    <t>TOTAL BUDGET</t>
  </si>
  <si>
    <t>ESTIMATED REVENUES</t>
  </si>
  <si>
    <t>1090  Interest on Taxes</t>
  </si>
  <si>
    <t>1091 Interest/Penalty Sanitation</t>
  </si>
  <si>
    <t>1120  Non-Property tax Dist. by Cty. (Sales Tax)</t>
  </si>
  <si>
    <t xml:space="preserve">1130  Util. Gross Receipts Elec. </t>
  </si>
  <si>
    <t>1170  Franchise, C.A.T.V.</t>
  </si>
  <si>
    <t>1230  Treasurer's Fees</t>
  </si>
  <si>
    <t>1520  Police Fees</t>
  </si>
  <si>
    <t>1603 Vital Statistic Fees</t>
  </si>
  <si>
    <t>matches expense</t>
  </si>
  <si>
    <t>1710 Property Maintenance</t>
  </si>
  <si>
    <t>1721 Parking lots Non taxable</t>
  </si>
  <si>
    <t>1789.201 School Service- Bus Garage</t>
  </si>
  <si>
    <t>2001  Parks &amp; Recreation Charges</t>
  </si>
  <si>
    <t>2012 Beach Concessions</t>
  </si>
  <si>
    <t>2012.101 Beach Passes. Seasonal</t>
  </si>
  <si>
    <t>2012.102 Beach Passes. Daily</t>
  </si>
  <si>
    <t>2012.103 Special Events/Holiday Vendors</t>
  </si>
  <si>
    <t>2012.416 Recreation.Frms Mkt</t>
  </si>
  <si>
    <t>2025 Adult Rec</t>
  </si>
  <si>
    <t>2089 Other Culture &amp; Rec Income</t>
  </si>
  <si>
    <t>2089.001 Rec Program</t>
  </si>
  <si>
    <t>2110  Zoning Appeals Fees</t>
  </si>
  <si>
    <t>2115  Planning Board &amp; A.R.B. Fees</t>
  </si>
  <si>
    <t>2130 Refuse &amp; Garbage Charges</t>
  </si>
  <si>
    <t>2195.100 Reimb Engineer Fees</t>
  </si>
  <si>
    <t>2260  Town Navigation</t>
  </si>
  <si>
    <t>2260.2 Boat/Driving/CPR Classes</t>
  </si>
  <si>
    <t>2350  Youth Recreation Services</t>
  </si>
  <si>
    <t>2389 Services for Fire Dept</t>
  </si>
  <si>
    <t>2389.2Services for Fire Dept GAS</t>
  </si>
  <si>
    <t>2389.3 Services for Ambulance Corp GAS</t>
  </si>
  <si>
    <t>2389.301 Services for School-Police Officers</t>
  </si>
  <si>
    <t>2390 Other Gov'ts Joint Activity</t>
  </si>
  <si>
    <t>2390.3 SCHOOL BUS GARAGE UTILITY</t>
  </si>
  <si>
    <t>2401  Interest on Earnings</t>
  </si>
  <si>
    <t>2401.01 Interest other funds</t>
  </si>
  <si>
    <t>2410 Rental of Community Center</t>
  </si>
  <si>
    <t>2412 Rent, Fire Dist, Other Gov't</t>
  </si>
  <si>
    <t>2530  Games of Chance</t>
  </si>
  <si>
    <t>2550 Rental Registrations</t>
  </si>
  <si>
    <t>2550.1 Rental Registrations</t>
  </si>
  <si>
    <t>2550.2 Fire Inspections</t>
  </si>
  <si>
    <t>2555  Building Permits</t>
  </si>
  <si>
    <t>2556 Certificate of Occupancy</t>
  </si>
  <si>
    <t>2565 Plumbing Permits</t>
  </si>
  <si>
    <t>2590 Permits, Other</t>
  </si>
  <si>
    <t>ESTIMATED REVENUES( CONT.)</t>
  </si>
  <si>
    <t>2590.1 Order to Remedy Fees</t>
  </si>
  <si>
    <t>2590.2 Peddlers Fee</t>
  </si>
  <si>
    <t>2590.201 Towing Permits</t>
  </si>
  <si>
    <t>2610  Fines/Forfeitures</t>
  </si>
  <si>
    <t>2660.003 Sales of Real Property</t>
  </si>
  <si>
    <t>2665  Sales of Equipment</t>
  </si>
  <si>
    <t>2680  Insurance Recoveries</t>
  </si>
  <si>
    <t>2680.1 Recovery for Property Damages</t>
  </si>
  <si>
    <t>2701  Refund Expendit./Prior Year</t>
  </si>
  <si>
    <t>2705  Gifts &amp; Donations</t>
  </si>
  <si>
    <t>2705.010 Donations for GWL Coalition</t>
  </si>
  <si>
    <t>2705.1 Park &amp; Rec Gifts &amp; Donations</t>
  </si>
  <si>
    <t>2705.101 Park Pavers</t>
  </si>
  <si>
    <t>2705.102 Advertising Banners</t>
  </si>
  <si>
    <t>2705.103 Community Garden</t>
  </si>
  <si>
    <t>2705.2 Concert Gifts &amp;  Donations</t>
  </si>
  <si>
    <t>2705.211 Donations Movie Tour</t>
  </si>
  <si>
    <t>2705.3 Holiday Celebration Donations</t>
  </si>
  <si>
    <t>2705.5 Donation Police</t>
  </si>
  <si>
    <t>2705.6 Donations for Revitalization</t>
  </si>
  <si>
    <t>2705.7 Donations for Senior</t>
  </si>
  <si>
    <t xml:space="preserve">2706.510 Local Grants. Orange County </t>
  </si>
  <si>
    <t>2750 Aim Related State Rev Sharing</t>
  </si>
  <si>
    <t>2770   Other, Unclassified</t>
  </si>
  <si>
    <t>2770.1 Misc. Local Sources</t>
  </si>
  <si>
    <t>2770.2 Misc. Revenue -GWL Commission</t>
  </si>
  <si>
    <t>2770.3 Misc. Revenue Filming</t>
  </si>
  <si>
    <t>2770.506 Other Unclassified Revenue. Peg Grant</t>
  </si>
  <si>
    <t>2801  Interfund Rev (water)</t>
  </si>
  <si>
    <t>2801.1 Interfund Rev FEMA 2</t>
  </si>
  <si>
    <t>3001  State Aid, Per Capita</t>
  </si>
  <si>
    <t>3005  Mortgage Tax</t>
  </si>
  <si>
    <t>3020 State Grant- Justice Court</t>
  </si>
  <si>
    <t>3089  Other Governmental Aid</t>
  </si>
  <si>
    <t>3089.1 State Aid Other grants</t>
  </si>
  <si>
    <t>3089.101 State Grant Sidewalks</t>
  </si>
  <si>
    <t>3089.103 State Grant Park</t>
  </si>
  <si>
    <t>3089.104 State Grant Trees</t>
  </si>
  <si>
    <t>3089.345 Other General Government Tech</t>
  </si>
  <si>
    <t>3089.353 Other General Govermental.NYSDA</t>
  </si>
  <si>
    <t>3315 Navigation Law Enforcement</t>
  </si>
  <si>
    <t>3315.100 Stop DWI</t>
  </si>
  <si>
    <t>3315.101 Stop DWI Equipment</t>
  </si>
  <si>
    <t>3318 Youth Enforcement</t>
  </si>
  <si>
    <t>3389.15 State Grant Equip</t>
  </si>
  <si>
    <t>3501.1 Chips Capital</t>
  </si>
  <si>
    <t>3820  Youth Programs</t>
  </si>
  <si>
    <t>3960 St Aid Emer Disaster</t>
  </si>
  <si>
    <t>4089  Other Governmental Aid (Federal)</t>
  </si>
  <si>
    <t>4092 Fed Aid Step</t>
  </si>
  <si>
    <t>4389.4 Federal Seat Belt Grant</t>
  </si>
  <si>
    <t>4910.282 CDBG.17A Sidewalk Project</t>
  </si>
  <si>
    <t>4960 Emergency Disaster Relief</t>
  </si>
  <si>
    <t>5031  Interfund Transfer</t>
  </si>
  <si>
    <t>1000 Allocated Fund Balance</t>
  </si>
  <si>
    <t>ASSESSED VALUATION</t>
  </si>
  <si>
    <t>RATE PER THOUSAND</t>
  </si>
  <si>
    <t>AMOUNT TO BE COLLECTED</t>
  </si>
  <si>
    <t>APPROPRIATED FUND BALANCE</t>
  </si>
  <si>
    <t>TOTAL  BUDGET</t>
  </si>
  <si>
    <t>Added (Taken) Fund balance</t>
  </si>
  <si>
    <t>Fund Balance 5/31/24</t>
  </si>
  <si>
    <t>Over (Short)</t>
  </si>
  <si>
    <t>Fund Balance 5/31/25</t>
  </si>
  <si>
    <t>CLERK</t>
  </si>
  <si>
    <t xml:space="preserve">A1410.4    Clerk Contractual </t>
  </si>
  <si>
    <t>A1950.4    Taxes on Property</t>
  </si>
  <si>
    <t>A8760 Emergency Disaster Work</t>
  </si>
  <si>
    <t>1116 Tax on Adult Use Cannabis</t>
  </si>
  <si>
    <t>2650 Sale of Scrap and Excess of Materials</t>
  </si>
  <si>
    <t>3089.381 Other General Government Prism Grant</t>
  </si>
  <si>
    <t>3089.382 Other General Government DCJS</t>
  </si>
  <si>
    <t>2026/2027</t>
  </si>
  <si>
    <t>May go over budget this year watch. 25/26 had $1300 for tax program twice</t>
  </si>
  <si>
    <t>New PR 2025/2026</t>
  </si>
  <si>
    <t>1680.402 Payroll Processing</t>
  </si>
  <si>
    <t>Ins $ 135,000 . Last year was told 30% inc + 5000 for cameras</t>
  </si>
  <si>
    <t>Only for lawsuits</t>
  </si>
  <si>
    <t>Part paid in 2024/2025 Rev acct A3089 $ 17325 last year</t>
  </si>
  <si>
    <t>This is O&amp;R bill</t>
  </si>
  <si>
    <t>2024/2025</t>
  </si>
  <si>
    <t>They are gone cut program.</t>
  </si>
  <si>
    <t>Out for bid assume 10% from town</t>
  </si>
  <si>
    <t>Premium Decreased</t>
  </si>
  <si>
    <t xml:space="preserve">Built in 15% inc </t>
  </si>
  <si>
    <t>New people came on</t>
  </si>
  <si>
    <t>Not building into budget yet</t>
  </si>
  <si>
    <t>Lowered based on this YR.</t>
  </si>
  <si>
    <t>No more farmers market</t>
  </si>
  <si>
    <t>Reduced based on this year</t>
  </si>
  <si>
    <t>Fund balance 5/31/25</t>
  </si>
  <si>
    <t>Looks like going over budget</t>
  </si>
  <si>
    <t>Projected Fund balance 5/31/26</t>
  </si>
  <si>
    <t xml:space="preserve">Fireworks 45,000 $4,000 other town will give $15k </t>
  </si>
  <si>
    <t>2390.1 Warwick Fireworks</t>
  </si>
  <si>
    <t>Posted for Fireworks</t>
  </si>
  <si>
    <t>Brendan has a contract which I did not know.  Will go over budget because of this.</t>
  </si>
  <si>
    <t>Based on this year</t>
  </si>
  <si>
    <t>Proj has traffic study town $7550</t>
  </si>
  <si>
    <t>A7620.401 Concert Series In Park</t>
  </si>
  <si>
    <t>A9060.81 Medicare Insurance Reimbursement</t>
  </si>
  <si>
    <t>Lowered based on prior YR</t>
  </si>
  <si>
    <t>2390.2 Warwick DPW Utilities</t>
  </si>
  <si>
    <t>3089.374 Law Enforcement Equipment Grant</t>
  </si>
  <si>
    <t>3997.201 County Grant. Seniors</t>
  </si>
  <si>
    <t>Conference one trustee</t>
  </si>
  <si>
    <t>Grant writer $ 5000</t>
  </si>
  <si>
    <t>A1620.404 Operation of Plant/Buildings Alarm</t>
  </si>
  <si>
    <t>A3120.374 Police Law Enforcement Equipment Grant</t>
  </si>
  <si>
    <t>A8790.2 Lake Equipment</t>
  </si>
  <si>
    <t>Ban costs</t>
  </si>
  <si>
    <t>A3120.411  Manit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</si>
</sst>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  <numFmt numFmtId="167" formatCode="_(* #,##0.0_);_(* \(#,##0.0\);_(* &quot;-&quot;??_);_(@_)"/>
    <numFmt numFmtId="168" formatCode="_(* #,##0.00000_);_(* \(#,##0.00000\);_(* &quot;-&quot;??_);_(@_)"/>
    <numFmt numFmtId="169" formatCode="0.0000%"/>
  </numFmts>
  <fonts count="22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i/>
      <sz val="11"/>
      <color theme="1"/>
      <name val="Calibri"/>
      <family val="2"/>
    </font>
    <font>
      <i/>
      <u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i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6">
    <xf numFmtId="0" fontId="0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1"/>
    <xf numFmtId="43" fontId="1" fillId="0" borderId="1" applyFont="0" applyFill="0" applyBorder="0" applyAlignment="0" applyProtection="0"/>
    <xf numFmtId="9" fontId="1" fillId="0" borderId="1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3" fillId="0" borderId="0" xfId="0" applyNumberFormat="1" applyFont="1"/>
    <xf numFmtId="43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164" fontId="2" fillId="0" borderId="0" xfId="0" applyNumberFormat="1" applyFont="1"/>
    <xf numFmtId="9" fontId="2" fillId="0" borderId="0" xfId="0" applyNumberFormat="1" applyFont="1"/>
    <xf numFmtId="164" fontId="5" fillId="0" borderId="0" xfId="0" applyNumberFormat="1" applyFont="1"/>
    <xf numFmtId="9" fontId="7" fillId="0" borderId="0" xfId="0" applyNumberFormat="1" applyFont="1"/>
    <xf numFmtId="165" fontId="2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43" fontId="10" fillId="0" borderId="0" xfId="0" applyNumberFormat="1" applyFont="1"/>
    <xf numFmtId="9" fontId="3" fillId="0" borderId="0" xfId="0" applyNumberFormat="1" applyFont="1"/>
    <xf numFmtId="0" fontId="11" fillId="0" borderId="0" xfId="0" applyFont="1"/>
    <xf numFmtId="43" fontId="2" fillId="0" borderId="0" xfId="0" applyNumberFormat="1" applyFont="1"/>
    <xf numFmtId="165" fontId="12" fillId="0" borderId="0" xfId="0" applyNumberFormat="1" applyFont="1"/>
    <xf numFmtId="167" fontId="3" fillId="0" borderId="0" xfId="0" applyNumberFormat="1" applyFont="1"/>
    <xf numFmtId="164" fontId="13" fillId="0" borderId="0" xfId="0" applyNumberFormat="1" applyFont="1"/>
    <xf numFmtId="2" fontId="3" fillId="0" borderId="0" xfId="0" applyNumberFormat="1" applyFont="1"/>
    <xf numFmtId="10" fontId="3" fillId="0" borderId="0" xfId="0" applyNumberFormat="1" applyFont="1"/>
    <xf numFmtId="168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14" fillId="0" borderId="0" xfId="0" applyNumberFormat="1" applyFont="1"/>
    <xf numFmtId="164" fontId="3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43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2" fillId="0" borderId="1" xfId="0" applyNumberFormat="1" applyFont="1" applyBorder="1"/>
    <xf numFmtId="164" fontId="6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/>
    <xf numFmtId="43" fontId="6" fillId="0" borderId="1" xfId="0" applyNumberFormat="1" applyFont="1" applyBorder="1"/>
    <xf numFmtId="164" fontId="13" fillId="0" borderId="1" xfId="0" applyNumberFormat="1" applyFont="1" applyBorder="1"/>
    <xf numFmtId="10" fontId="3" fillId="0" borderId="1" xfId="0" applyNumberFormat="1" applyFont="1" applyBorder="1"/>
    <xf numFmtId="164" fontId="3" fillId="0" borderId="1" xfId="0" applyNumberFormat="1" applyFont="1" applyBorder="1" applyAlignment="1">
      <alignment horizontal="left"/>
    </xf>
    <xf numFmtId="164" fontId="15" fillId="0" borderId="1" xfId="0" applyNumberFormat="1" applyFont="1" applyBorder="1"/>
    <xf numFmtId="164" fontId="3" fillId="0" borderId="1" xfId="1" applyNumberFormat="1" applyFont="1" applyFill="1" applyBorder="1"/>
    <xf numFmtId="164" fontId="2" fillId="0" borderId="1" xfId="1" applyNumberFormat="1" applyFont="1" applyFill="1" applyBorder="1"/>
    <xf numFmtId="164" fontId="6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/>
    </xf>
    <xf numFmtId="164" fontId="16" fillId="0" borderId="1" xfId="1" applyNumberFormat="1" applyFont="1" applyFill="1" applyBorder="1"/>
    <xf numFmtId="43" fontId="16" fillId="0" borderId="0" xfId="0" applyNumberFormat="1" applyFont="1"/>
    <xf numFmtId="164" fontId="16" fillId="0" borderId="0" xfId="0" applyNumberFormat="1" applyFont="1"/>
    <xf numFmtId="164" fontId="18" fillId="0" borderId="0" xfId="0" applyNumberFormat="1" applyFont="1"/>
    <xf numFmtId="164" fontId="19" fillId="0" borderId="0" xfId="0" applyNumberFormat="1" applyFont="1"/>
    <xf numFmtId="164" fontId="3" fillId="0" borderId="1" xfId="1" applyNumberFormat="1" applyFont="1" applyBorder="1"/>
    <xf numFmtId="169" fontId="3" fillId="0" borderId="0" xfId="2" applyNumberFormat="1" applyFont="1" applyFill="1"/>
    <xf numFmtId="49" fontId="16" fillId="0" borderId="1" xfId="0" applyNumberFormat="1" applyFont="1" applyBorder="1" applyAlignment="1">
      <alignment horizontal="center"/>
    </xf>
    <xf numFmtId="43" fontId="3" fillId="0" borderId="0" xfId="1" applyFont="1"/>
    <xf numFmtId="164" fontId="16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165" fontId="7" fillId="0" borderId="0" xfId="0" applyNumberFormat="1" applyFont="1"/>
    <xf numFmtId="43" fontId="20" fillId="0" borderId="0" xfId="0" applyNumberFormat="1" applyFont="1"/>
    <xf numFmtId="164" fontId="20" fillId="0" borderId="0" xfId="0" applyNumberFormat="1" applyFont="1"/>
    <xf numFmtId="10" fontId="3" fillId="0" borderId="0" xfId="2" applyNumberFormat="1" applyFont="1"/>
  </cellXfs>
  <cellStyles count="6">
    <cellStyle name="Comma" xfId="1" builtinId="3"/>
    <cellStyle name="Comma 2" xfId="4" xr:uid="{4F0FE311-C597-4172-83D1-5F20148AAFC8}"/>
    <cellStyle name="Normal" xfId="0" builtinId="0"/>
    <cellStyle name="Normal 2" xfId="3" xr:uid="{C07C7AA4-8891-4D42-936E-E55BED6DC65D}"/>
    <cellStyle name="Percent" xfId="2" builtinId="5"/>
    <cellStyle name="Percent 2" xfId="5" xr:uid="{8E215AA2-1B30-4005-95E1-A23EEAE209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8"/>
  <sheetViews>
    <sheetView tabSelected="1" zoomScale="115" zoomScaleNormal="115" workbookViewId="0">
      <pane xSplit="10" ySplit="8" topLeftCell="M449" activePane="bottomRight" state="frozen"/>
      <selection pane="topRight" activeCell="K1" sqref="K1"/>
      <selection pane="bottomLeft" activeCell="A9" sqref="A9"/>
      <selection pane="bottomRight" activeCell="W151" sqref="W151"/>
    </sheetView>
  </sheetViews>
  <sheetFormatPr defaultColWidth="12.5703125" defaultRowHeight="15" customHeight="1" x14ac:dyDescent="0.25"/>
  <cols>
    <col min="1" max="1" width="48.7109375" customWidth="1"/>
    <col min="2" max="8" width="12.140625" hidden="1" customWidth="1"/>
    <col min="9" max="9" width="10.85546875" hidden="1" customWidth="1"/>
    <col min="10" max="11" width="12.140625" hidden="1" customWidth="1"/>
    <col min="12" max="13" width="12.140625" customWidth="1"/>
    <col min="14" max="15" width="14.42578125" customWidth="1"/>
    <col min="16" max="16" width="13.42578125" customWidth="1"/>
    <col min="17" max="18" width="15.140625" customWidth="1"/>
    <col min="19" max="19" width="12.140625" bestFit="1" customWidth="1"/>
    <col min="20" max="20" width="12.140625" customWidth="1"/>
    <col min="21" max="21" width="12.7109375" customWidth="1"/>
    <col min="22" max="22" width="12.85546875" bestFit="1" customWidth="1"/>
    <col min="23" max="23" width="13.42578125" customWidth="1"/>
    <col min="24" max="24" width="12.140625" bestFit="1" customWidth="1"/>
    <col min="25" max="25" width="11.7109375" bestFit="1" customWidth="1"/>
    <col min="26" max="26" width="79.85546875" bestFit="1" customWidth="1"/>
    <col min="27" max="27" width="16.28515625" customWidth="1"/>
    <col min="28" max="30" width="9.140625" customWidth="1"/>
    <col min="31" max="31" width="21" customWidth="1"/>
  </cols>
  <sheetData>
    <row r="1" spans="1:3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6"/>
      <c r="P1" s="2"/>
      <c r="Q1" s="36"/>
      <c r="R1" s="37"/>
      <c r="S1" s="3"/>
      <c r="T1" s="3"/>
      <c r="U1" s="3"/>
      <c r="V1" s="3"/>
      <c r="W1" s="2"/>
      <c r="X1" s="2"/>
      <c r="Y1" s="2"/>
      <c r="Z1" s="4"/>
      <c r="AA1" s="4"/>
      <c r="AB1" s="5"/>
      <c r="AC1" s="5"/>
      <c r="AD1" s="5"/>
      <c r="AE1" s="5"/>
    </row>
    <row r="2" spans="1:31" x14ac:dyDescent="0.25">
      <c r="A2" s="1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8"/>
      <c r="P2" s="6"/>
      <c r="Q2" s="38"/>
      <c r="R2" s="39"/>
      <c r="S2" s="7"/>
      <c r="T2" s="7"/>
      <c r="U2" s="7"/>
      <c r="V2" s="7"/>
      <c r="W2" s="6"/>
      <c r="X2" s="6"/>
      <c r="Y2" s="6"/>
      <c r="Z2" s="4"/>
      <c r="AA2" s="4"/>
      <c r="AB2" s="5"/>
      <c r="AC2" s="5"/>
      <c r="AD2" s="5"/>
      <c r="AE2" s="5"/>
    </row>
    <row r="3" spans="1:31" x14ac:dyDescent="0.25">
      <c r="A3" s="1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38"/>
      <c r="P3" s="6"/>
      <c r="Q3" s="38"/>
      <c r="R3" s="39"/>
      <c r="S3" s="7"/>
      <c r="T3" s="7"/>
      <c r="U3" s="7"/>
      <c r="V3" s="7"/>
      <c r="W3" s="6"/>
      <c r="X3" s="6"/>
      <c r="Y3" s="6"/>
      <c r="Z3" s="4"/>
      <c r="AA3" s="4"/>
      <c r="AB3" s="5"/>
      <c r="AC3" s="5"/>
      <c r="AD3" s="5"/>
      <c r="AE3" s="5"/>
    </row>
    <row r="4" spans="1:31" x14ac:dyDescent="0.25">
      <c r="A4" s="1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0"/>
      <c r="P4" s="5"/>
      <c r="Q4" s="40"/>
      <c r="R4" s="37"/>
      <c r="S4" s="3"/>
      <c r="T4" s="3"/>
      <c r="U4" s="3"/>
      <c r="V4" s="3"/>
      <c r="W4" s="5"/>
      <c r="X4" s="5"/>
      <c r="Y4" s="5"/>
      <c r="Z4" s="4"/>
      <c r="AA4" s="4"/>
      <c r="AB4" s="5"/>
      <c r="AC4" s="5"/>
      <c r="AD4" s="5"/>
      <c r="AE4" s="5"/>
    </row>
    <row r="5" spans="1:3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38"/>
      <c r="P5" s="5"/>
      <c r="Q5" s="38"/>
      <c r="R5" s="39"/>
      <c r="S5" s="7"/>
      <c r="T5" s="7"/>
      <c r="U5" s="7"/>
      <c r="V5" s="7"/>
      <c r="W5" s="6" t="s">
        <v>4</v>
      </c>
      <c r="X5" s="6" t="s">
        <v>5</v>
      </c>
      <c r="Y5" s="6" t="s">
        <v>6</v>
      </c>
      <c r="Z5" s="4"/>
      <c r="AA5" s="4"/>
      <c r="AB5" s="5"/>
      <c r="AC5" s="5"/>
      <c r="AD5" s="5"/>
      <c r="AE5" s="5"/>
    </row>
    <row r="6" spans="1:31" x14ac:dyDescent="0.25">
      <c r="A6" s="5"/>
      <c r="B6" s="6" t="s">
        <v>7</v>
      </c>
      <c r="C6" s="6" t="s">
        <v>8</v>
      </c>
      <c r="D6" s="6" t="s">
        <v>8</v>
      </c>
      <c r="E6" s="6" t="s">
        <v>8</v>
      </c>
      <c r="F6" s="6" t="s">
        <v>8</v>
      </c>
      <c r="G6" s="6" t="s">
        <v>8</v>
      </c>
      <c r="H6" s="6" t="s">
        <v>8</v>
      </c>
      <c r="I6" s="6" t="s">
        <v>8</v>
      </c>
      <c r="J6" s="6" t="s">
        <v>8</v>
      </c>
      <c r="K6" s="6" t="s">
        <v>8</v>
      </c>
      <c r="L6" s="6" t="s">
        <v>8</v>
      </c>
      <c r="M6" s="6" t="s">
        <v>9</v>
      </c>
      <c r="N6" s="6" t="s">
        <v>9</v>
      </c>
      <c r="O6" s="38" t="s">
        <v>9</v>
      </c>
      <c r="P6" s="6" t="s">
        <v>4</v>
      </c>
      <c r="Q6" s="41" t="s">
        <v>10</v>
      </c>
      <c r="R6" s="39" t="s">
        <v>11</v>
      </c>
      <c r="S6" s="7" t="s">
        <v>12</v>
      </c>
      <c r="T6" s="7" t="s">
        <v>12</v>
      </c>
      <c r="U6" s="7" t="s">
        <v>13</v>
      </c>
      <c r="V6" s="7" t="s">
        <v>14</v>
      </c>
      <c r="W6" s="6" t="s">
        <v>15</v>
      </c>
      <c r="X6" s="6" t="s">
        <v>16</v>
      </c>
      <c r="Y6" s="6" t="s">
        <v>17</v>
      </c>
      <c r="Z6" s="4"/>
      <c r="AA6" s="4"/>
      <c r="AB6" s="5"/>
      <c r="AC6" s="5"/>
      <c r="AD6" s="5"/>
      <c r="AE6" s="5"/>
    </row>
    <row r="7" spans="1:31" x14ac:dyDescent="0.25">
      <c r="A7" s="5"/>
      <c r="B7" s="6" t="s">
        <v>18</v>
      </c>
      <c r="C7" s="6" t="s">
        <v>19</v>
      </c>
      <c r="D7" s="6" t="s">
        <v>20</v>
      </c>
      <c r="E7" s="6" t="s">
        <v>21</v>
      </c>
      <c r="F7" s="6" t="s">
        <v>22</v>
      </c>
      <c r="G7" s="6" t="s">
        <v>23</v>
      </c>
      <c r="H7" s="6" t="s">
        <v>24</v>
      </c>
      <c r="I7" s="6" t="s">
        <v>25</v>
      </c>
      <c r="J7" s="6" t="s">
        <v>26</v>
      </c>
      <c r="K7" s="6" t="s">
        <v>27</v>
      </c>
      <c r="L7" s="6" t="s">
        <v>28</v>
      </c>
      <c r="M7" s="6" t="s">
        <v>29</v>
      </c>
      <c r="N7" s="6" t="s">
        <v>30</v>
      </c>
      <c r="O7" s="63" t="s">
        <v>425</v>
      </c>
      <c r="P7" s="6" t="s">
        <v>31</v>
      </c>
      <c r="Q7" s="38" t="s">
        <v>5</v>
      </c>
      <c r="R7" s="39" t="s">
        <v>8</v>
      </c>
      <c r="S7" s="7" t="s">
        <v>32</v>
      </c>
      <c r="T7" s="6" t="s">
        <v>31</v>
      </c>
      <c r="U7" s="6" t="s">
        <v>33</v>
      </c>
      <c r="V7" s="6" t="s">
        <v>34</v>
      </c>
      <c r="W7" s="6" t="s">
        <v>417</v>
      </c>
      <c r="X7" s="6" t="s">
        <v>17</v>
      </c>
      <c r="Y7" s="6"/>
      <c r="Z7" s="4"/>
      <c r="AA7" s="4"/>
      <c r="AB7" s="5"/>
      <c r="AC7" s="5"/>
      <c r="AD7" s="5"/>
      <c r="AE7" s="5"/>
    </row>
    <row r="8" spans="1:31" x14ac:dyDescent="0.25">
      <c r="A8" s="5"/>
      <c r="B8" s="6" t="s">
        <v>35</v>
      </c>
      <c r="C8" s="6" t="s">
        <v>35</v>
      </c>
      <c r="D8" s="6" t="s">
        <v>35</v>
      </c>
      <c r="E8" s="6" t="s">
        <v>35</v>
      </c>
      <c r="F8" s="6" t="s">
        <v>35</v>
      </c>
      <c r="G8" s="6" t="s">
        <v>35</v>
      </c>
      <c r="H8" s="6" t="s">
        <v>35</v>
      </c>
      <c r="I8" s="6" t="s">
        <v>35</v>
      </c>
      <c r="J8" s="6" t="s">
        <v>35</v>
      </c>
      <c r="K8" s="6" t="s">
        <v>35</v>
      </c>
      <c r="L8" s="6" t="s">
        <v>35</v>
      </c>
      <c r="M8" s="6" t="s">
        <v>36</v>
      </c>
      <c r="N8" s="6" t="s">
        <v>36</v>
      </c>
      <c r="O8" s="38" t="s">
        <v>36</v>
      </c>
      <c r="P8" s="6"/>
      <c r="Q8" s="38" t="s">
        <v>31</v>
      </c>
      <c r="R8" s="39" t="s">
        <v>37</v>
      </c>
      <c r="S8" s="6"/>
      <c r="T8" s="6"/>
      <c r="U8" s="6"/>
      <c r="V8" s="6" t="s">
        <v>10</v>
      </c>
      <c r="W8" s="6"/>
      <c r="X8" s="6"/>
      <c r="Y8" s="6"/>
      <c r="Z8" s="4"/>
      <c r="AA8" s="4"/>
      <c r="AB8" s="5"/>
      <c r="AC8" s="5"/>
      <c r="AD8" s="5"/>
      <c r="AE8" s="5"/>
    </row>
    <row r="9" spans="1:31" x14ac:dyDescent="0.25">
      <c r="A9" s="8" t="s">
        <v>38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2"/>
      <c r="P9" s="3"/>
      <c r="Q9" s="42"/>
      <c r="R9" s="42"/>
      <c r="S9" s="3"/>
      <c r="T9" s="3"/>
      <c r="U9" s="3"/>
      <c r="V9" s="3"/>
      <c r="W9" s="3"/>
      <c r="X9" s="3"/>
      <c r="Y9" s="3"/>
      <c r="Z9" s="4"/>
      <c r="AA9" s="4"/>
      <c r="AB9" s="5"/>
      <c r="AC9" s="5"/>
      <c r="AD9" s="5"/>
      <c r="AE9" s="5"/>
    </row>
    <row r="10" spans="1:31" x14ac:dyDescent="0.25">
      <c r="A10" s="9" t="s">
        <v>39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2"/>
      <c r="P10" s="3"/>
      <c r="Q10" s="42"/>
      <c r="R10" s="42"/>
      <c r="S10" s="3"/>
      <c r="T10" s="3"/>
      <c r="U10" s="3"/>
      <c r="V10" s="3"/>
      <c r="W10" s="3"/>
      <c r="X10" s="3"/>
      <c r="Y10" s="3"/>
      <c r="Z10" s="4"/>
      <c r="AA10" s="4"/>
      <c r="AB10" s="5"/>
      <c r="AC10" s="5"/>
      <c r="AD10" s="5"/>
      <c r="AE10" s="5"/>
    </row>
    <row r="11" spans="1:31" x14ac:dyDescent="0.25">
      <c r="A11" s="5" t="s">
        <v>40</v>
      </c>
      <c r="B11" s="3">
        <v>10800</v>
      </c>
      <c r="C11" s="3">
        <v>10200</v>
      </c>
      <c r="D11" s="3">
        <v>10800</v>
      </c>
      <c r="E11" s="3">
        <v>10800</v>
      </c>
      <c r="F11" s="3">
        <v>12299.76</v>
      </c>
      <c r="G11" s="3">
        <v>12299.76</v>
      </c>
      <c r="H11" s="3">
        <v>12299.76</v>
      </c>
      <c r="I11" s="3">
        <v>13800.24</v>
      </c>
      <c r="J11" s="3">
        <v>13800.24</v>
      </c>
      <c r="K11" s="3">
        <v>13800.24</v>
      </c>
      <c r="L11" s="3">
        <v>13800.24</v>
      </c>
      <c r="M11" s="3">
        <v>13800.18</v>
      </c>
      <c r="N11" s="3">
        <v>13609</v>
      </c>
      <c r="O11" s="52">
        <v>12634.78</v>
      </c>
      <c r="P11" s="3">
        <v>14640</v>
      </c>
      <c r="Q11" s="42">
        <v>14640</v>
      </c>
      <c r="R11" s="42">
        <v>9760.56</v>
      </c>
      <c r="S11" s="3">
        <f>1220.07*4</f>
        <v>4880.28</v>
      </c>
      <c r="T11" s="3">
        <f t="shared" ref="T11:T12" si="0">+R11+S11</f>
        <v>14640.84</v>
      </c>
      <c r="U11" s="3">
        <f>+T11-P11</f>
        <v>0.84000000000014552</v>
      </c>
      <c r="V11" s="3">
        <f>+T11-Q11</f>
        <v>0.84000000000014552</v>
      </c>
      <c r="W11" s="3">
        <v>15080</v>
      </c>
      <c r="X11" s="3">
        <f>+W11-P11</f>
        <v>440</v>
      </c>
      <c r="Y11" s="10">
        <f>+X11/P11</f>
        <v>3.0054644808743168E-2</v>
      </c>
      <c r="Z11" s="4"/>
      <c r="AA11" s="4"/>
      <c r="AB11" s="5"/>
      <c r="AC11" s="5"/>
      <c r="AD11" s="5"/>
      <c r="AE11" s="5"/>
    </row>
    <row r="12" spans="1:31" x14ac:dyDescent="0.25">
      <c r="A12" s="5" t="s">
        <v>41</v>
      </c>
      <c r="B12" s="3">
        <v>180.26</v>
      </c>
      <c r="C12" s="3">
        <v>527</v>
      </c>
      <c r="D12" s="3">
        <v>224.57</v>
      </c>
      <c r="E12" s="3">
        <v>152</v>
      </c>
      <c r="F12" s="3">
        <v>382.3</v>
      </c>
      <c r="G12" s="3">
        <v>346.5</v>
      </c>
      <c r="H12" s="3">
        <v>134.55000000000001</v>
      </c>
      <c r="I12" s="3">
        <v>126.92</v>
      </c>
      <c r="J12" s="3">
        <v>311.94</v>
      </c>
      <c r="K12" s="3">
        <v>285.27</v>
      </c>
      <c r="L12" s="3">
        <v>400</v>
      </c>
      <c r="M12" s="3">
        <v>409.27</v>
      </c>
      <c r="N12" s="3">
        <v>300</v>
      </c>
      <c r="O12" s="52">
        <v>396.04</v>
      </c>
      <c r="P12" s="3">
        <v>400</v>
      </c>
      <c r="Q12" s="42">
        <v>400</v>
      </c>
      <c r="R12" s="42">
        <v>0</v>
      </c>
      <c r="S12" s="3">
        <v>193</v>
      </c>
      <c r="T12" s="3">
        <f t="shared" si="0"/>
        <v>193</v>
      </c>
      <c r="U12" s="3">
        <f>+T12-P12</f>
        <v>-207</v>
      </c>
      <c r="V12" s="3">
        <f>+T12-Q12</f>
        <v>-207</v>
      </c>
      <c r="W12" s="3">
        <f>400+1500</f>
        <v>1900</v>
      </c>
      <c r="X12" s="3">
        <f>+W12-P12</f>
        <v>1500</v>
      </c>
      <c r="Y12" s="10">
        <f>+X12/P12</f>
        <v>3.75</v>
      </c>
      <c r="Z12" s="4" t="s">
        <v>450</v>
      </c>
      <c r="AA12" s="4"/>
      <c r="AB12" s="5"/>
      <c r="AC12" s="5"/>
      <c r="AD12" s="5"/>
      <c r="AE12" s="5"/>
    </row>
    <row r="13" spans="1:31" x14ac:dyDescent="0.25">
      <c r="A13" s="1" t="s">
        <v>42</v>
      </c>
      <c r="B13" s="11">
        <f t="shared" ref="B13:Y13" si="1">SUM(B11:B12)</f>
        <v>10980.26</v>
      </c>
      <c r="C13" s="11">
        <f t="shared" si="1"/>
        <v>10727</v>
      </c>
      <c r="D13" s="11">
        <f t="shared" si="1"/>
        <v>11024.57</v>
      </c>
      <c r="E13" s="11">
        <f t="shared" si="1"/>
        <v>10952</v>
      </c>
      <c r="F13" s="11">
        <f t="shared" si="1"/>
        <v>12682.06</v>
      </c>
      <c r="G13" s="11">
        <f t="shared" si="1"/>
        <v>12646.26</v>
      </c>
      <c r="H13" s="11">
        <f t="shared" si="1"/>
        <v>12434.31</v>
      </c>
      <c r="I13" s="11">
        <f t="shared" si="1"/>
        <v>13927.16</v>
      </c>
      <c r="J13" s="11">
        <f t="shared" si="1"/>
        <v>14112.18</v>
      </c>
      <c r="K13" s="11">
        <f t="shared" si="1"/>
        <v>14085.51</v>
      </c>
      <c r="L13" s="11">
        <f t="shared" si="1"/>
        <v>14200.24</v>
      </c>
      <c r="M13" s="11">
        <f t="shared" si="1"/>
        <v>14209.45</v>
      </c>
      <c r="N13" s="11">
        <f t="shared" si="1"/>
        <v>13909</v>
      </c>
      <c r="O13" s="53">
        <f>SUM(O11:O12)</f>
        <v>13030.820000000002</v>
      </c>
      <c r="P13" s="11">
        <f t="shared" si="1"/>
        <v>15040</v>
      </c>
      <c r="Q13" s="43">
        <f>SUM(Q11:Q12)</f>
        <v>15040</v>
      </c>
      <c r="R13" s="43">
        <f>SUM(R11:R12)</f>
        <v>9760.56</v>
      </c>
      <c r="S13" s="11">
        <f t="shared" si="1"/>
        <v>5073.28</v>
      </c>
      <c r="T13" s="11">
        <f t="shared" si="1"/>
        <v>14833.84</v>
      </c>
      <c r="U13" s="11">
        <f t="shared" si="1"/>
        <v>-206.15999999999985</v>
      </c>
      <c r="V13" s="11">
        <f t="shared" si="1"/>
        <v>-206.15999999999985</v>
      </c>
      <c r="W13" s="11">
        <f t="shared" si="1"/>
        <v>16980</v>
      </c>
      <c r="X13" s="11">
        <f t="shared" si="1"/>
        <v>1940</v>
      </c>
      <c r="Y13" s="12">
        <f t="shared" si="1"/>
        <v>3.7800546448087431</v>
      </c>
      <c r="Z13" s="4"/>
      <c r="AA13" s="4"/>
      <c r="AB13" s="5"/>
      <c r="AC13" s="5"/>
      <c r="AD13" s="5"/>
      <c r="AE13" s="5"/>
    </row>
    <row r="14" spans="1:31" x14ac:dyDescent="0.25">
      <c r="A14" s="1" t="s">
        <v>43</v>
      </c>
      <c r="B14" s="13">
        <f t="shared" ref="B14:Y14" si="2">+B13</f>
        <v>10980.26</v>
      </c>
      <c r="C14" s="13">
        <f t="shared" si="2"/>
        <v>10727</v>
      </c>
      <c r="D14" s="13">
        <f t="shared" si="2"/>
        <v>11024.57</v>
      </c>
      <c r="E14" s="13">
        <f t="shared" si="2"/>
        <v>10952</v>
      </c>
      <c r="F14" s="13">
        <f t="shared" si="2"/>
        <v>12682.06</v>
      </c>
      <c r="G14" s="13">
        <f t="shared" si="2"/>
        <v>12646.26</v>
      </c>
      <c r="H14" s="13">
        <f t="shared" si="2"/>
        <v>12434.31</v>
      </c>
      <c r="I14" s="13">
        <f t="shared" si="2"/>
        <v>13927.16</v>
      </c>
      <c r="J14" s="13">
        <f t="shared" si="2"/>
        <v>14112.18</v>
      </c>
      <c r="K14" s="13">
        <f t="shared" si="2"/>
        <v>14085.51</v>
      </c>
      <c r="L14" s="13">
        <f t="shared" si="2"/>
        <v>14200.24</v>
      </c>
      <c r="M14" s="13">
        <f t="shared" si="2"/>
        <v>14209.45</v>
      </c>
      <c r="N14" s="13">
        <f t="shared" si="2"/>
        <v>13909</v>
      </c>
      <c r="O14" s="54">
        <f>+O13</f>
        <v>13030.820000000002</v>
      </c>
      <c r="P14" s="13">
        <f t="shared" si="2"/>
        <v>15040</v>
      </c>
      <c r="Q14" s="44">
        <f>+Q13</f>
        <v>15040</v>
      </c>
      <c r="R14" s="44">
        <f t="shared" si="2"/>
        <v>9760.56</v>
      </c>
      <c r="S14" s="13">
        <f t="shared" si="2"/>
        <v>5073.28</v>
      </c>
      <c r="T14" s="13">
        <f t="shared" si="2"/>
        <v>14833.84</v>
      </c>
      <c r="U14" s="13">
        <f t="shared" si="2"/>
        <v>-206.15999999999985</v>
      </c>
      <c r="V14" s="13">
        <f t="shared" si="2"/>
        <v>-206.15999999999985</v>
      </c>
      <c r="W14" s="13">
        <f t="shared" si="2"/>
        <v>16980</v>
      </c>
      <c r="X14" s="13">
        <f t="shared" si="2"/>
        <v>1940</v>
      </c>
      <c r="Y14" s="14">
        <f t="shared" si="2"/>
        <v>3.7800546448087431</v>
      </c>
      <c r="Z14" s="4"/>
      <c r="AA14" s="4"/>
      <c r="AB14" s="5"/>
      <c r="AC14" s="5"/>
      <c r="AD14" s="5"/>
      <c r="AE14" s="5"/>
    </row>
    <row r="15" spans="1:31" x14ac:dyDescent="0.25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52"/>
      <c r="P15" s="3"/>
      <c r="Q15" s="42"/>
      <c r="R15" s="42"/>
      <c r="S15" s="3"/>
      <c r="T15" s="3"/>
      <c r="U15" s="3"/>
      <c r="V15" s="3"/>
      <c r="W15" s="3"/>
      <c r="X15" s="3"/>
      <c r="Y15" s="10"/>
      <c r="Z15" s="4"/>
      <c r="AA15" s="4"/>
      <c r="AB15" s="5"/>
      <c r="AC15" s="5"/>
      <c r="AD15" s="5"/>
      <c r="AE15" s="5"/>
    </row>
    <row r="16" spans="1:31" x14ac:dyDescent="0.25">
      <c r="A16" s="8" t="s">
        <v>44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52"/>
      <c r="P16" s="3"/>
      <c r="Q16" s="42"/>
      <c r="R16" s="42"/>
      <c r="S16" s="3"/>
      <c r="T16" s="3"/>
      <c r="U16" s="3"/>
      <c r="V16" s="3"/>
      <c r="W16" s="3"/>
      <c r="X16" s="3"/>
      <c r="Y16" s="10"/>
      <c r="Z16" s="4"/>
      <c r="AA16" s="4"/>
      <c r="AB16" s="5"/>
      <c r="AC16" s="5"/>
      <c r="AD16" s="5"/>
      <c r="AE16" s="5"/>
    </row>
    <row r="17" spans="1:31" x14ac:dyDescent="0.25">
      <c r="A17" s="9" t="s">
        <v>45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52"/>
      <c r="P17" s="3"/>
      <c r="Q17" s="42"/>
      <c r="R17" s="42"/>
      <c r="S17" s="3"/>
      <c r="T17" s="3"/>
      <c r="U17" s="3"/>
      <c r="V17" s="3"/>
      <c r="W17" s="3"/>
      <c r="X17" s="3"/>
      <c r="Y17" s="10"/>
      <c r="Z17" s="4"/>
      <c r="AA17" s="4"/>
      <c r="AB17" s="5"/>
      <c r="AC17" s="5"/>
      <c r="AD17" s="5"/>
      <c r="AE17" s="5"/>
    </row>
    <row r="18" spans="1:31" x14ac:dyDescent="0.25">
      <c r="A18" s="5" t="s">
        <v>46</v>
      </c>
      <c r="B18" s="3">
        <v>75775.06</v>
      </c>
      <c r="C18" s="3">
        <v>79215</v>
      </c>
      <c r="D18" s="3">
        <v>66576.86</v>
      </c>
      <c r="E18" s="3">
        <v>67065.03</v>
      </c>
      <c r="F18" s="3">
        <v>69823.39</v>
      </c>
      <c r="G18" s="3">
        <v>70270.009999999995</v>
      </c>
      <c r="H18" s="3">
        <v>74502.080000000002</v>
      </c>
      <c r="I18" s="3">
        <v>76244.91</v>
      </c>
      <c r="J18" s="3">
        <v>79490.09</v>
      </c>
      <c r="K18" s="3">
        <v>81595.25</v>
      </c>
      <c r="L18" s="3">
        <v>87194.68</v>
      </c>
      <c r="M18" s="3">
        <v>87555.34</v>
      </c>
      <c r="N18" s="3">
        <v>95182</v>
      </c>
      <c r="O18" s="52">
        <v>84018.76</v>
      </c>
      <c r="P18" s="3">
        <v>96573</v>
      </c>
      <c r="Q18" s="42">
        <v>96573</v>
      </c>
      <c r="R18" s="42">
        <v>53310.3</v>
      </c>
      <c r="S18" s="3">
        <f>+(3804*4)+(2385*5)</f>
        <v>27141</v>
      </c>
      <c r="T18" s="3">
        <f t="shared" ref="T18:T23" si="3">+R18+S18</f>
        <v>80451.3</v>
      </c>
      <c r="U18" s="3">
        <f t="shared" ref="U18:U23" si="4">+T18-P18</f>
        <v>-16121.699999999997</v>
      </c>
      <c r="V18" s="3">
        <f t="shared" ref="V18:V23" si="5">+T18-Q18</f>
        <v>-16121.699999999997</v>
      </c>
      <c r="W18" s="3">
        <v>99920</v>
      </c>
      <c r="X18" s="3">
        <f t="shared" ref="X18:X23" si="6">+W18-P18</f>
        <v>3347</v>
      </c>
      <c r="Y18" s="10">
        <f>+X18/P18</f>
        <v>3.4657720066685306E-2</v>
      </c>
      <c r="Z18" s="4"/>
      <c r="AA18" s="4"/>
      <c r="AB18" s="5"/>
      <c r="AC18" s="5"/>
      <c r="AD18" s="5"/>
      <c r="AE18" s="5"/>
    </row>
    <row r="19" spans="1:31" x14ac:dyDescent="0.25">
      <c r="A19" s="5" t="s">
        <v>47</v>
      </c>
      <c r="B19" s="3">
        <v>2100</v>
      </c>
      <c r="C19" s="3">
        <v>1680</v>
      </c>
      <c r="D19" s="3">
        <v>1920</v>
      </c>
      <c r="E19" s="3">
        <v>1440</v>
      </c>
      <c r="F19" s="3">
        <v>1800</v>
      </c>
      <c r="G19" s="3">
        <v>3780</v>
      </c>
      <c r="H19" s="3">
        <v>4140</v>
      </c>
      <c r="I19" s="3">
        <v>3240</v>
      </c>
      <c r="J19" s="3">
        <v>2760</v>
      </c>
      <c r="K19" s="3">
        <v>2040</v>
      </c>
      <c r="L19" s="3">
        <v>2880</v>
      </c>
      <c r="M19" s="3">
        <v>1680</v>
      </c>
      <c r="N19" s="3">
        <v>0</v>
      </c>
      <c r="O19" s="52"/>
      <c r="P19" s="3">
        <v>0</v>
      </c>
      <c r="Q19" s="42"/>
      <c r="R19" s="42"/>
      <c r="S19" s="3"/>
      <c r="T19" s="3">
        <f t="shared" si="3"/>
        <v>0</v>
      </c>
      <c r="U19" s="3">
        <f t="shared" si="4"/>
        <v>0</v>
      </c>
      <c r="V19" s="3">
        <f t="shared" si="5"/>
        <v>0</v>
      </c>
      <c r="W19" s="3"/>
      <c r="X19" s="3">
        <f t="shared" si="6"/>
        <v>0</v>
      </c>
      <c r="Y19" s="10"/>
      <c r="Z19" s="4"/>
      <c r="AA19" s="4"/>
      <c r="AB19" s="5"/>
      <c r="AC19" s="5"/>
      <c r="AD19" s="5"/>
      <c r="AE19" s="5"/>
    </row>
    <row r="20" spans="1:31" x14ac:dyDescent="0.25">
      <c r="A20" s="5" t="s">
        <v>48</v>
      </c>
      <c r="B20" s="3"/>
      <c r="C20" s="3"/>
      <c r="D20" s="3"/>
      <c r="E20" s="3"/>
      <c r="F20" s="3"/>
      <c r="G20" s="3"/>
      <c r="H20" s="3"/>
      <c r="I20" s="3">
        <v>8886.39</v>
      </c>
      <c r="J20" s="3"/>
      <c r="K20" s="3"/>
      <c r="L20" s="3"/>
      <c r="M20" s="3"/>
      <c r="N20" s="3">
        <v>5209</v>
      </c>
      <c r="O20" s="52">
        <v>20204.349999999999</v>
      </c>
      <c r="P20" s="3">
        <v>21712</v>
      </c>
      <c r="Q20" s="42">
        <v>21712</v>
      </c>
      <c r="R20" s="42">
        <v>11103.4</v>
      </c>
      <c r="S20" s="3">
        <f>5348*2</f>
        <v>10696</v>
      </c>
      <c r="T20" s="3">
        <f t="shared" si="3"/>
        <v>21799.4</v>
      </c>
      <c r="U20" s="3">
        <f t="shared" si="4"/>
        <v>87.400000000001455</v>
      </c>
      <c r="V20" s="3">
        <f t="shared" si="5"/>
        <v>87.400000000001455</v>
      </c>
      <c r="W20" s="3">
        <v>24357</v>
      </c>
      <c r="X20" s="3">
        <f t="shared" si="6"/>
        <v>2645</v>
      </c>
      <c r="Y20" s="10">
        <f>+X20/P20</f>
        <v>0.12182203389830508</v>
      </c>
      <c r="Z20" s="4"/>
      <c r="AA20" s="4"/>
      <c r="AB20" s="5"/>
      <c r="AC20" s="5"/>
      <c r="AD20" s="5"/>
      <c r="AE20" s="5"/>
    </row>
    <row r="21" spans="1:31" ht="15.75" customHeight="1" x14ac:dyDescent="0.25">
      <c r="A21" s="5" t="s">
        <v>49</v>
      </c>
      <c r="B21" s="3">
        <v>1300</v>
      </c>
      <c r="C21" s="3">
        <v>1325</v>
      </c>
      <c r="D21" s="3">
        <v>1300</v>
      </c>
      <c r="E21" s="3">
        <v>1300</v>
      </c>
      <c r="F21" s="3">
        <v>1300</v>
      </c>
      <c r="G21" s="3">
        <v>1300</v>
      </c>
      <c r="H21" s="3">
        <v>1325</v>
      </c>
      <c r="I21" s="3">
        <v>1300</v>
      </c>
      <c r="J21" s="3">
        <v>1175</v>
      </c>
      <c r="K21" s="3">
        <v>1810</v>
      </c>
      <c r="L21" s="3">
        <v>1312.5</v>
      </c>
      <c r="M21" s="3">
        <v>1755</v>
      </c>
      <c r="N21" s="3">
        <v>1808</v>
      </c>
      <c r="O21" s="52">
        <v>1790.5</v>
      </c>
      <c r="P21" s="3">
        <v>1918</v>
      </c>
      <c r="Q21" s="42">
        <v>1918</v>
      </c>
      <c r="R21" s="42">
        <v>1254.0899999999999</v>
      </c>
      <c r="S21" s="3">
        <f>73.77*9</f>
        <v>663.93</v>
      </c>
      <c r="T21" s="3">
        <f t="shared" si="3"/>
        <v>1918.02</v>
      </c>
      <c r="U21" s="3">
        <f t="shared" si="4"/>
        <v>1.999999999998181E-2</v>
      </c>
      <c r="V21" s="3">
        <f t="shared" si="5"/>
        <v>1.999999999998181E-2</v>
      </c>
      <c r="W21" s="3">
        <v>1976</v>
      </c>
      <c r="X21" s="3">
        <f t="shared" si="6"/>
        <v>58</v>
      </c>
      <c r="Y21" s="10">
        <f>+X21/P21</f>
        <v>3.023983315954119E-2</v>
      </c>
      <c r="Z21" s="4"/>
      <c r="AA21" s="4"/>
      <c r="AB21" s="5"/>
      <c r="AC21" s="5"/>
      <c r="AD21" s="5"/>
      <c r="AE21" s="5"/>
    </row>
    <row r="22" spans="1:31" ht="15.75" customHeight="1" x14ac:dyDescent="0.25">
      <c r="A22" s="5" t="s">
        <v>50</v>
      </c>
      <c r="B22" s="3">
        <v>7276</v>
      </c>
      <c r="C22" s="3"/>
      <c r="D22" s="3">
        <v>1561.79</v>
      </c>
      <c r="E22" s="3">
        <v>6800</v>
      </c>
      <c r="F22" s="3">
        <v>1023.61</v>
      </c>
      <c r="G22" s="3">
        <v>2087.4699999999998</v>
      </c>
      <c r="H22" s="3">
        <v>4806.37</v>
      </c>
      <c r="I22" s="3"/>
      <c r="J22" s="3"/>
      <c r="K22" s="3">
        <v>633.83000000000004</v>
      </c>
      <c r="L22" s="3">
        <v>4857.66</v>
      </c>
      <c r="M22" s="3"/>
      <c r="N22" s="3"/>
      <c r="O22" s="52"/>
      <c r="P22" s="3"/>
      <c r="Q22" s="42"/>
      <c r="R22" s="42"/>
      <c r="S22" s="3"/>
      <c r="T22" s="3">
        <f t="shared" si="3"/>
        <v>0</v>
      </c>
      <c r="U22" s="3">
        <f t="shared" si="4"/>
        <v>0</v>
      </c>
      <c r="V22" s="3">
        <f t="shared" si="5"/>
        <v>0</v>
      </c>
      <c r="W22" s="3"/>
      <c r="X22" s="3">
        <f t="shared" si="6"/>
        <v>0</v>
      </c>
      <c r="Y22" s="10"/>
      <c r="Z22" s="4"/>
      <c r="AA22" s="4"/>
      <c r="AB22" s="5"/>
      <c r="AC22" s="5"/>
      <c r="AD22" s="5"/>
      <c r="AE22" s="5"/>
    </row>
    <row r="23" spans="1:31" ht="15.75" customHeight="1" x14ac:dyDescent="0.25">
      <c r="A23" s="5" t="s">
        <v>51</v>
      </c>
      <c r="B23" s="3">
        <v>12073.94</v>
      </c>
      <c r="C23" s="3">
        <v>10669</v>
      </c>
      <c r="D23" s="3">
        <v>13262.1</v>
      </c>
      <c r="E23" s="3">
        <v>15015.33</v>
      </c>
      <c r="F23" s="3">
        <v>13112.73</v>
      </c>
      <c r="G23" s="3">
        <v>13552.37</v>
      </c>
      <c r="H23" s="3">
        <v>12699.96</v>
      </c>
      <c r="I23" s="3">
        <v>15005.77</v>
      </c>
      <c r="J23" s="3">
        <v>11978.89</v>
      </c>
      <c r="K23" s="3">
        <v>12062.26</v>
      </c>
      <c r="L23" s="3">
        <v>14322.65</v>
      </c>
      <c r="M23" s="3">
        <v>16570.71</v>
      </c>
      <c r="N23" s="3">
        <v>17642</v>
      </c>
      <c r="O23" s="52">
        <v>28498.14</v>
      </c>
      <c r="P23" s="3">
        <v>19500</v>
      </c>
      <c r="Q23" s="42">
        <v>19500</v>
      </c>
      <c r="R23" s="42">
        <v>10168.56</v>
      </c>
      <c r="S23" s="3">
        <v>6500</v>
      </c>
      <c r="T23" s="3">
        <f t="shared" si="3"/>
        <v>16668.559999999998</v>
      </c>
      <c r="U23" s="3">
        <f t="shared" si="4"/>
        <v>-2831.4400000000023</v>
      </c>
      <c r="V23" s="3">
        <f t="shared" si="5"/>
        <v>-2831.4400000000023</v>
      </c>
      <c r="W23" s="3">
        <v>19500</v>
      </c>
      <c r="X23" s="3">
        <f t="shared" si="6"/>
        <v>0</v>
      </c>
      <c r="Y23" s="10">
        <f>+X23/P23</f>
        <v>0</v>
      </c>
      <c r="Z23" s="4"/>
      <c r="AA23" s="4"/>
      <c r="AB23" s="5"/>
      <c r="AC23" s="5"/>
      <c r="AD23" s="5"/>
      <c r="AE23" s="5"/>
    </row>
    <row r="24" spans="1:31" ht="15.75" customHeight="1" x14ac:dyDescent="0.25">
      <c r="A24" s="1" t="s">
        <v>42</v>
      </c>
      <c r="B24" s="11">
        <f t="shared" ref="B24:X24" si="7">SUM(B18:B23)</f>
        <v>98525</v>
      </c>
      <c r="C24" s="11">
        <f t="shared" si="7"/>
        <v>92889</v>
      </c>
      <c r="D24" s="11">
        <f t="shared" si="7"/>
        <v>84620.75</v>
      </c>
      <c r="E24" s="11">
        <f t="shared" si="7"/>
        <v>91620.36</v>
      </c>
      <c r="F24" s="11">
        <f t="shared" si="7"/>
        <v>87059.73</v>
      </c>
      <c r="G24" s="11">
        <f t="shared" si="7"/>
        <v>90989.849999999991</v>
      </c>
      <c r="H24" s="11">
        <f t="shared" si="7"/>
        <v>97473.41</v>
      </c>
      <c r="I24" s="11">
        <f t="shared" si="7"/>
        <v>104677.07</v>
      </c>
      <c r="J24" s="11">
        <f t="shared" si="7"/>
        <v>95403.98</v>
      </c>
      <c r="K24" s="11">
        <f t="shared" si="7"/>
        <v>98141.34</v>
      </c>
      <c r="L24" s="11">
        <f t="shared" si="7"/>
        <v>110567.48999999999</v>
      </c>
      <c r="M24" s="11">
        <f t="shared" si="7"/>
        <v>107561.04999999999</v>
      </c>
      <c r="N24" s="11">
        <f t="shared" si="7"/>
        <v>119841</v>
      </c>
      <c r="O24" s="53">
        <f t="shared" si="7"/>
        <v>134511.75</v>
      </c>
      <c r="P24" s="11">
        <f t="shared" si="7"/>
        <v>139703</v>
      </c>
      <c r="Q24" s="43">
        <f>SUM(Q18:Q23)</f>
        <v>139703</v>
      </c>
      <c r="R24" s="43">
        <f t="shared" si="7"/>
        <v>75836.350000000006</v>
      </c>
      <c r="S24" s="11">
        <f t="shared" si="7"/>
        <v>45000.93</v>
      </c>
      <c r="T24" s="11">
        <f t="shared" si="7"/>
        <v>120837.28000000001</v>
      </c>
      <c r="U24" s="11">
        <f t="shared" si="7"/>
        <v>-18865.719999999998</v>
      </c>
      <c r="V24" s="11">
        <f t="shared" si="7"/>
        <v>-18865.719999999998</v>
      </c>
      <c r="W24" s="11">
        <f t="shared" si="7"/>
        <v>145753</v>
      </c>
      <c r="X24" s="11">
        <f t="shared" si="7"/>
        <v>6050</v>
      </c>
      <c r="Y24" s="15">
        <f>+X24/P24</f>
        <v>4.3306156632284203E-2</v>
      </c>
      <c r="Z24" s="4"/>
      <c r="AA24" s="4"/>
      <c r="AB24" s="5"/>
      <c r="AC24" s="5"/>
      <c r="AD24" s="5"/>
      <c r="AE24" s="5"/>
    </row>
    <row r="25" spans="1:31" ht="15.75" customHeight="1" x14ac:dyDescent="0.25">
      <c r="A25" s="1" t="s">
        <v>52</v>
      </c>
      <c r="B25" s="13">
        <f t="shared" ref="B25:X25" si="8">+B24</f>
        <v>98525</v>
      </c>
      <c r="C25" s="13">
        <f t="shared" si="8"/>
        <v>92889</v>
      </c>
      <c r="D25" s="13">
        <f t="shared" si="8"/>
        <v>84620.75</v>
      </c>
      <c r="E25" s="13">
        <f t="shared" si="8"/>
        <v>91620.36</v>
      </c>
      <c r="F25" s="13">
        <f t="shared" si="8"/>
        <v>87059.73</v>
      </c>
      <c r="G25" s="13">
        <f t="shared" si="8"/>
        <v>90989.849999999991</v>
      </c>
      <c r="H25" s="13">
        <f t="shared" si="8"/>
        <v>97473.41</v>
      </c>
      <c r="I25" s="13">
        <f t="shared" si="8"/>
        <v>104677.07</v>
      </c>
      <c r="J25" s="13">
        <f t="shared" si="8"/>
        <v>95403.98</v>
      </c>
      <c r="K25" s="13">
        <f t="shared" si="8"/>
        <v>98141.34</v>
      </c>
      <c r="L25" s="13">
        <f t="shared" si="8"/>
        <v>110567.48999999999</v>
      </c>
      <c r="M25" s="13">
        <f t="shared" si="8"/>
        <v>107561.04999999999</v>
      </c>
      <c r="N25" s="13">
        <f t="shared" si="8"/>
        <v>119841</v>
      </c>
      <c r="O25" s="54">
        <f t="shared" si="8"/>
        <v>134511.75</v>
      </c>
      <c r="P25" s="13">
        <f t="shared" si="8"/>
        <v>139703</v>
      </c>
      <c r="Q25" s="44">
        <f>+Q24</f>
        <v>139703</v>
      </c>
      <c r="R25" s="44">
        <f t="shared" si="8"/>
        <v>75836.350000000006</v>
      </c>
      <c r="S25" s="13">
        <f t="shared" si="8"/>
        <v>45000.93</v>
      </c>
      <c r="T25" s="13">
        <f t="shared" si="8"/>
        <v>120837.28000000001</v>
      </c>
      <c r="U25" s="13">
        <f t="shared" si="8"/>
        <v>-18865.719999999998</v>
      </c>
      <c r="V25" s="13">
        <f t="shared" si="8"/>
        <v>-18865.719999999998</v>
      </c>
      <c r="W25" s="13">
        <f t="shared" si="8"/>
        <v>145753</v>
      </c>
      <c r="X25" s="13">
        <f t="shared" si="8"/>
        <v>6050</v>
      </c>
      <c r="Y25" s="16">
        <f>+X25/P25</f>
        <v>4.3306156632284203E-2</v>
      </c>
      <c r="Z25" s="4"/>
      <c r="AA25" s="4"/>
      <c r="AB25" s="5"/>
      <c r="AC25" s="5"/>
      <c r="AD25" s="5"/>
      <c r="AE25" s="5"/>
    </row>
    <row r="26" spans="1:31" ht="15.75" customHeight="1" x14ac:dyDescent="0.25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2"/>
      <c r="P26" s="3"/>
      <c r="Q26" s="42"/>
      <c r="R26" s="42"/>
      <c r="S26" s="3"/>
      <c r="T26" s="3"/>
      <c r="U26" s="58"/>
      <c r="V26" s="3"/>
      <c r="W26" s="3"/>
      <c r="X26" s="3"/>
      <c r="Y26" s="10"/>
      <c r="Z26" s="4"/>
      <c r="AA26" s="4"/>
      <c r="AB26" s="5"/>
      <c r="AC26" s="5"/>
      <c r="AD26" s="5"/>
      <c r="AE26" s="5"/>
    </row>
    <row r="27" spans="1:31" ht="15.75" customHeight="1" x14ac:dyDescent="0.25">
      <c r="A27" s="8" t="s">
        <v>53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2"/>
      <c r="P27" s="3"/>
      <c r="Q27" s="42"/>
      <c r="R27" s="42"/>
      <c r="S27" s="3"/>
      <c r="T27" s="3"/>
      <c r="U27" s="3"/>
      <c r="V27" s="3"/>
      <c r="W27" s="3"/>
      <c r="X27" s="3"/>
      <c r="Y27" s="10"/>
      <c r="Z27" s="4"/>
      <c r="AA27" s="4"/>
      <c r="AB27" s="5"/>
      <c r="AC27" s="5"/>
      <c r="AD27" s="5"/>
      <c r="AE27" s="5"/>
    </row>
    <row r="28" spans="1:31" ht="15.75" customHeight="1" x14ac:dyDescent="0.25">
      <c r="A28" s="9" t="s">
        <v>54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2"/>
      <c r="P28" s="3"/>
      <c r="Q28" s="42"/>
      <c r="R28" s="42"/>
      <c r="S28" s="3"/>
      <c r="T28" s="3"/>
      <c r="U28" s="3"/>
      <c r="V28" s="3"/>
      <c r="W28" s="3"/>
      <c r="X28" s="3"/>
      <c r="Y28" s="10"/>
      <c r="Z28" s="4"/>
      <c r="AA28" s="4"/>
      <c r="AB28" s="5"/>
      <c r="AC28" s="5"/>
      <c r="AD28" s="5"/>
      <c r="AE28" s="5"/>
    </row>
    <row r="29" spans="1:31" ht="15.75" customHeight="1" x14ac:dyDescent="0.25">
      <c r="A29" s="5" t="s">
        <v>55</v>
      </c>
      <c r="B29" s="3">
        <v>12000</v>
      </c>
      <c r="C29" s="3">
        <v>12000</v>
      </c>
      <c r="D29" s="3">
        <v>12000</v>
      </c>
      <c r="E29" s="3">
        <v>12000</v>
      </c>
      <c r="F29" s="3">
        <v>14000.04</v>
      </c>
      <c r="G29" s="3">
        <v>14000.04</v>
      </c>
      <c r="H29" s="3">
        <v>14000.04</v>
      </c>
      <c r="I29" s="3">
        <v>17000.04</v>
      </c>
      <c r="J29" s="3">
        <v>17000.04</v>
      </c>
      <c r="K29" s="3">
        <v>17000.04</v>
      </c>
      <c r="L29" s="3">
        <v>17000.04</v>
      </c>
      <c r="M29" s="3">
        <v>15595.66</v>
      </c>
      <c r="N29" s="3">
        <v>16996</v>
      </c>
      <c r="O29" s="52">
        <v>17503.68</v>
      </c>
      <c r="P29" s="3">
        <v>17504</v>
      </c>
      <c r="Q29" s="42">
        <v>17504</v>
      </c>
      <c r="R29" s="42">
        <v>11669.12</v>
      </c>
      <c r="S29" s="3">
        <f>1458.64*4</f>
        <v>5834.56</v>
      </c>
      <c r="T29" s="3">
        <f t="shared" ref="T29:T31" si="9">+R29+S29</f>
        <v>17503.68</v>
      </c>
      <c r="U29" s="3">
        <f>+T29-P29</f>
        <v>-0.31999999999970896</v>
      </c>
      <c r="V29" s="3">
        <f>+T29-Q29</f>
        <v>-0.31999999999970896</v>
      </c>
      <c r="W29" s="3">
        <v>18029</v>
      </c>
      <c r="X29" s="3">
        <f>+W29-P29</f>
        <v>525</v>
      </c>
      <c r="Y29" s="10">
        <f>+X29/P29</f>
        <v>2.9993144424131628E-2</v>
      </c>
      <c r="Z29" s="4"/>
      <c r="AA29" s="4"/>
      <c r="AB29" s="5"/>
      <c r="AC29" s="5"/>
      <c r="AD29" s="5"/>
      <c r="AE29" s="5"/>
    </row>
    <row r="30" spans="1:31" ht="15.75" customHeight="1" x14ac:dyDescent="0.25">
      <c r="A30" s="5" t="s">
        <v>56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>
        <v>9184.6200000000008</v>
      </c>
      <c r="N30" s="3">
        <v>0</v>
      </c>
      <c r="O30" s="52"/>
      <c r="P30" s="3"/>
      <c r="Q30" s="42"/>
      <c r="R30" s="42"/>
      <c r="S30" s="3"/>
      <c r="T30" s="3">
        <f t="shared" si="9"/>
        <v>0</v>
      </c>
      <c r="U30" s="3">
        <f>+T30-P30</f>
        <v>0</v>
      </c>
      <c r="V30" s="3">
        <f>+T30-Q30</f>
        <v>0</v>
      </c>
      <c r="W30" s="3"/>
      <c r="X30" s="3">
        <f>+W30-P30</f>
        <v>0</v>
      </c>
      <c r="Y30" s="10"/>
      <c r="Z30" s="4"/>
      <c r="AA30" s="4"/>
      <c r="AB30" s="5"/>
      <c r="AC30" s="5"/>
      <c r="AD30" s="5"/>
      <c r="AE30" s="5"/>
    </row>
    <row r="31" spans="1:31" ht="15.75" customHeight="1" x14ac:dyDescent="0.25">
      <c r="A31" s="5" t="s">
        <v>57</v>
      </c>
      <c r="B31" s="3">
        <v>2480.96</v>
      </c>
      <c r="C31" s="3">
        <v>2528</v>
      </c>
      <c r="D31" s="3">
        <v>217.56</v>
      </c>
      <c r="E31" s="3">
        <v>350.78</v>
      </c>
      <c r="F31" s="3">
        <v>394.24</v>
      </c>
      <c r="G31" s="3">
        <v>1502.64</v>
      </c>
      <c r="H31" s="3">
        <v>267.27</v>
      </c>
      <c r="I31" s="3">
        <v>1268.1099999999999</v>
      </c>
      <c r="J31" s="3">
        <v>891.5</v>
      </c>
      <c r="K31" s="3">
        <v>533.29</v>
      </c>
      <c r="L31" s="3">
        <v>987.97</v>
      </c>
      <c r="M31" s="3">
        <v>3075.11</v>
      </c>
      <c r="N31" s="3">
        <v>2958</v>
      </c>
      <c r="O31" s="52">
        <v>3409.35</v>
      </c>
      <c r="P31" s="3">
        <f>+K31+2000</f>
        <v>2533.29</v>
      </c>
      <c r="Q31" s="42">
        <v>3120</v>
      </c>
      <c r="R31" s="42">
        <v>1943.37</v>
      </c>
      <c r="S31" s="3">
        <f>250*4</f>
        <v>1000</v>
      </c>
      <c r="T31" s="3">
        <f t="shared" si="9"/>
        <v>2943.37</v>
      </c>
      <c r="U31" s="3">
        <f>+T31-P31</f>
        <v>410.07999999999993</v>
      </c>
      <c r="V31" s="3">
        <f>+T31-Q31</f>
        <v>-176.63000000000011</v>
      </c>
      <c r="W31" s="3">
        <v>3120</v>
      </c>
      <c r="X31" s="3">
        <f>+W31-P31</f>
        <v>586.71</v>
      </c>
      <c r="Y31" s="10">
        <f>+X31/P31</f>
        <v>0.23160001421076942</v>
      </c>
      <c r="Z31" s="4"/>
      <c r="AA31" s="4"/>
      <c r="AB31" s="5"/>
      <c r="AC31" s="5"/>
      <c r="AD31" s="5"/>
      <c r="AE31" s="5"/>
    </row>
    <row r="32" spans="1:31" ht="15.75" customHeight="1" x14ac:dyDescent="0.25">
      <c r="A32" s="1" t="s">
        <v>42</v>
      </c>
      <c r="B32" s="11">
        <f t="shared" ref="B32:X32" si="10">SUM(B29:B31)</f>
        <v>14480.96</v>
      </c>
      <c r="C32" s="11">
        <f t="shared" si="10"/>
        <v>14528</v>
      </c>
      <c r="D32" s="11">
        <f t="shared" si="10"/>
        <v>12217.56</v>
      </c>
      <c r="E32" s="11">
        <f t="shared" si="10"/>
        <v>12350.78</v>
      </c>
      <c r="F32" s="11">
        <f t="shared" si="10"/>
        <v>14394.28</v>
      </c>
      <c r="G32" s="11">
        <f t="shared" si="10"/>
        <v>15502.68</v>
      </c>
      <c r="H32" s="11">
        <f t="shared" si="10"/>
        <v>14267.310000000001</v>
      </c>
      <c r="I32" s="11">
        <f t="shared" si="10"/>
        <v>18268.150000000001</v>
      </c>
      <c r="J32" s="11">
        <f t="shared" si="10"/>
        <v>17891.54</v>
      </c>
      <c r="K32" s="11">
        <f t="shared" si="10"/>
        <v>17533.330000000002</v>
      </c>
      <c r="L32" s="11">
        <f t="shared" si="10"/>
        <v>17988.010000000002</v>
      </c>
      <c r="M32" s="11">
        <f t="shared" si="10"/>
        <v>27855.39</v>
      </c>
      <c r="N32" s="11">
        <f t="shared" si="10"/>
        <v>19954</v>
      </c>
      <c r="O32" s="53">
        <f t="shared" si="10"/>
        <v>20913.03</v>
      </c>
      <c r="P32" s="11">
        <f t="shared" si="10"/>
        <v>20037.29</v>
      </c>
      <c r="Q32" s="43">
        <f>SUM(Q29:Q31)</f>
        <v>20624</v>
      </c>
      <c r="R32" s="43">
        <f t="shared" si="10"/>
        <v>13612.490000000002</v>
      </c>
      <c r="S32" s="11">
        <f t="shared" si="10"/>
        <v>6834.56</v>
      </c>
      <c r="T32" s="11">
        <f t="shared" si="10"/>
        <v>20447.05</v>
      </c>
      <c r="U32" s="11">
        <f t="shared" si="10"/>
        <v>409.76000000000022</v>
      </c>
      <c r="V32" s="11">
        <f t="shared" si="10"/>
        <v>-176.94999999999982</v>
      </c>
      <c r="W32" s="11">
        <f t="shared" si="10"/>
        <v>21149</v>
      </c>
      <c r="X32" s="11">
        <f t="shared" si="10"/>
        <v>1111.71</v>
      </c>
      <c r="Y32" s="66">
        <f>+X32/P32</f>
        <v>5.5482053710856107E-2</v>
      </c>
      <c r="Z32" s="4"/>
      <c r="AA32" s="4"/>
      <c r="AB32" s="5"/>
      <c r="AC32" s="5"/>
      <c r="AD32" s="5"/>
      <c r="AE32" s="5"/>
    </row>
    <row r="33" spans="1:31" ht="15.75" customHeight="1" x14ac:dyDescent="0.25">
      <c r="A33" s="1" t="s">
        <v>58</v>
      </c>
      <c r="B33" s="13">
        <f t="shared" ref="B33:X33" si="11">+B32</f>
        <v>14480.96</v>
      </c>
      <c r="C33" s="13">
        <f t="shared" si="11"/>
        <v>14528</v>
      </c>
      <c r="D33" s="13">
        <f t="shared" si="11"/>
        <v>12217.56</v>
      </c>
      <c r="E33" s="13">
        <f t="shared" si="11"/>
        <v>12350.78</v>
      </c>
      <c r="F33" s="13">
        <f t="shared" si="11"/>
        <v>14394.28</v>
      </c>
      <c r="G33" s="13">
        <f t="shared" si="11"/>
        <v>15502.68</v>
      </c>
      <c r="H33" s="13">
        <f t="shared" si="11"/>
        <v>14267.310000000001</v>
      </c>
      <c r="I33" s="13">
        <f t="shared" si="11"/>
        <v>18268.150000000001</v>
      </c>
      <c r="J33" s="13">
        <f t="shared" si="11"/>
        <v>17891.54</v>
      </c>
      <c r="K33" s="13">
        <f t="shared" si="11"/>
        <v>17533.330000000002</v>
      </c>
      <c r="L33" s="13">
        <f t="shared" si="11"/>
        <v>17988.010000000002</v>
      </c>
      <c r="M33" s="13">
        <f t="shared" si="11"/>
        <v>27855.39</v>
      </c>
      <c r="N33" s="13">
        <f t="shared" si="11"/>
        <v>19954</v>
      </c>
      <c r="O33" s="54">
        <f t="shared" si="11"/>
        <v>20913.03</v>
      </c>
      <c r="P33" s="13">
        <f t="shared" si="11"/>
        <v>20037.29</v>
      </c>
      <c r="Q33" s="44">
        <f t="shared" si="11"/>
        <v>20624</v>
      </c>
      <c r="R33" s="44">
        <f t="shared" si="11"/>
        <v>13612.490000000002</v>
      </c>
      <c r="S33" s="13">
        <f t="shared" si="11"/>
        <v>6834.56</v>
      </c>
      <c r="T33" s="13">
        <f t="shared" si="11"/>
        <v>20447.05</v>
      </c>
      <c r="U33" s="13">
        <f t="shared" si="11"/>
        <v>409.76000000000022</v>
      </c>
      <c r="V33" s="13">
        <f t="shared" si="11"/>
        <v>-176.94999999999982</v>
      </c>
      <c r="W33" s="13">
        <f t="shared" si="11"/>
        <v>21149</v>
      </c>
      <c r="X33" s="13">
        <f t="shared" si="11"/>
        <v>1111.71</v>
      </c>
      <c r="Y33" s="67">
        <f>+X33/P33</f>
        <v>5.5482053710856107E-2</v>
      </c>
      <c r="Z33" s="4"/>
      <c r="AA33" s="4"/>
      <c r="AB33" s="5"/>
      <c r="AC33" s="5"/>
      <c r="AD33" s="5"/>
      <c r="AE33" s="5"/>
    </row>
    <row r="34" spans="1:31" ht="15.75" customHeight="1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2"/>
      <c r="P34" s="3"/>
      <c r="Q34" s="42"/>
      <c r="R34" s="42"/>
      <c r="S34" s="3"/>
      <c r="T34" s="3"/>
      <c r="U34" s="3"/>
      <c r="V34" s="3"/>
      <c r="W34" s="3"/>
      <c r="X34" s="3"/>
      <c r="Y34" s="10"/>
      <c r="Z34" s="4"/>
      <c r="AA34" s="4"/>
      <c r="AB34" s="5"/>
      <c r="AC34" s="5"/>
      <c r="AD34" s="5"/>
      <c r="AE34" s="5"/>
    </row>
    <row r="35" spans="1:31" ht="15.75" customHeight="1" x14ac:dyDescent="0.25">
      <c r="A35" s="8" t="s">
        <v>59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55"/>
      <c r="P35" s="7" t="s">
        <v>60</v>
      </c>
      <c r="Q35" s="45"/>
      <c r="R35" s="45"/>
      <c r="S35" s="7"/>
      <c r="T35" s="3"/>
      <c r="U35" s="3"/>
      <c r="V35" s="3"/>
      <c r="W35" s="7" t="s">
        <v>60</v>
      </c>
      <c r="X35" s="3"/>
      <c r="Y35" s="10"/>
      <c r="Z35" s="4"/>
      <c r="AA35" s="4"/>
      <c r="AB35" s="5"/>
      <c r="AC35" s="5"/>
      <c r="AD35" s="5"/>
      <c r="AE35" s="5"/>
    </row>
    <row r="36" spans="1:31" ht="15.75" customHeight="1" x14ac:dyDescent="0.25">
      <c r="A36" s="9" t="s">
        <v>61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55"/>
      <c r="P36" s="7"/>
      <c r="Q36" s="45"/>
      <c r="R36" s="45"/>
      <c r="S36" s="7"/>
      <c r="T36" s="3"/>
      <c r="U36" s="3"/>
      <c r="V36" s="3"/>
      <c r="W36" s="7"/>
      <c r="X36" s="3"/>
      <c r="Y36" s="10"/>
      <c r="Z36" s="4"/>
      <c r="AA36" s="4"/>
      <c r="AB36" s="5"/>
      <c r="AC36" s="5"/>
      <c r="AD36" s="5"/>
      <c r="AE36" s="5"/>
    </row>
    <row r="37" spans="1:31" ht="15.75" customHeight="1" x14ac:dyDescent="0.25">
      <c r="A37" s="5" t="s">
        <v>62</v>
      </c>
      <c r="B37" s="3">
        <v>109198.41</v>
      </c>
      <c r="C37" s="3">
        <v>110734</v>
      </c>
      <c r="D37" s="3">
        <v>113402</v>
      </c>
      <c r="E37" s="3">
        <v>116812.33</v>
      </c>
      <c r="F37" s="3">
        <v>120989.92</v>
      </c>
      <c r="G37" s="3">
        <v>126236</v>
      </c>
      <c r="H37" s="3">
        <v>129409.76</v>
      </c>
      <c r="I37" s="3">
        <v>134774.79999999999</v>
      </c>
      <c r="J37" s="3">
        <v>139991.20000000001</v>
      </c>
      <c r="K37" s="3">
        <v>143797.6</v>
      </c>
      <c r="L37" s="3">
        <v>147749.6</v>
      </c>
      <c r="M37" s="3">
        <v>133481.72</v>
      </c>
      <c r="N37" s="3">
        <v>102918</v>
      </c>
      <c r="O37" s="52">
        <v>114642.33</v>
      </c>
      <c r="P37" s="3">
        <v>141181</v>
      </c>
      <c r="Q37" s="42">
        <v>141181</v>
      </c>
      <c r="R37" s="42">
        <v>97213.21</v>
      </c>
      <c r="S37" s="3">
        <v>51594</v>
      </c>
      <c r="T37" s="3">
        <f t="shared" ref="T37:T41" si="12">+R37+S37</f>
        <v>148807.21000000002</v>
      </c>
      <c r="U37" s="3">
        <f>+T37-P37</f>
        <v>7626.210000000021</v>
      </c>
      <c r="V37" s="3">
        <f>+T37-Q37</f>
        <v>7626.210000000021</v>
      </c>
      <c r="W37" s="3">
        <v>156325</v>
      </c>
      <c r="X37" s="3">
        <f>+W37-P37</f>
        <v>15144</v>
      </c>
      <c r="Y37" s="10">
        <f>+X37/P37</f>
        <v>0.10726655853124713</v>
      </c>
      <c r="Z37" s="4"/>
      <c r="AA37" s="4"/>
      <c r="AB37" s="5"/>
      <c r="AC37" s="5"/>
      <c r="AD37" s="5"/>
      <c r="AE37" s="5"/>
    </row>
    <row r="38" spans="1:31" ht="15.75" customHeight="1" x14ac:dyDescent="0.25">
      <c r="A38" s="5" t="s">
        <v>63</v>
      </c>
      <c r="B38" s="3">
        <v>5298.65</v>
      </c>
      <c r="C38" s="3">
        <v>0</v>
      </c>
      <c r="D38" s="3">
        <v>5972.06</v>
      </c>
      <c r="E38" s="3">
        <v>10521.3</v>
      </c>
      <c r="F38" s="3">
        <v>11145.74</v>
      </c>
      <c r="G38" s="3">
        <v>12143.3</v>
      </c>
      <c r="H38" s="3">
        <v>13432.59</v>
      </c>
      <c r="I38" s="3">
        <v>14250.49</v>
      </c>
      <c r="J38" s="3">
        <v>14413.75</v>
      </c>
      <c r="K38" s="3">
        <v>14487.13</v>
      </c>
      <c r="L38" s="3">
        <v>12728.45</v>
      </c>
      <c r="M38" s="3">
        <v>18612.79</v>
      </c>
      <c r="N38" s="3">
        <v>20573</v>
      </c>
      <c r="O38" s="52">
        <v>20204.349999999999</v>
      </c>
      <c r="P38" s="3">
        <v>43424</v>
      </c>
      <c r="Q38" s="42">
        <v>43424</v>
      </c>
      <c r="R38" s="42">
        <v>22206.799999999999</v>
      </c>
      <c r="S38" s="3">
        <f>10695.36*2</f>
        <v>21390.720000000001</v>
      </c>
      <c r="T38" s="3">
        <f t="shared" si="12"/>
        <v>43597.520000000004</v>
      </c>
      <c r="U38" s="3">
        <f>+T38-P38</f>
        <v>173.52000000000407</v>
      </c>
      <c r="V38" s="3">
        <f>+T38-Q38</f>
        <v>173.52000000000407</v>
      </c>
      <c r="W38" s="3">
        <v>48380</v>
      </c>
      <c r="X38" s="3">
        <f>+W38-P38</f>
        <v>4956</v>
      </c>
      <c r="Y38" s="10">
        <f>+X38/P38</f>
        <v>0.11413043478260869</v>
      </c>
      <c r="Z38" s="4"/>
      <c r="AA38" s="4"/>
      <c r="AB38" s="5"/>
      <c r="AC38" s="5"/>
      <c r="AD38" s="5"/>
      <c r="AE38" s="5"/>
    </row>
    <row r="39" spans="1:31" ht="15.75" hidden="1" customHeight="1" x14ac:dyDescent="0.25">
      <c r="A39" s="5" t="s">
        <v>64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2"/>
      <c r="P39" s="3"/>
      <c r="Q39" s="42"/>
      <c r="R39" s="42"/>
      <c r="S39" s="3"/>
      <c r="T39" s="3">
        <f t="shared" si="12"/>
        <v>0</v>
      </c>
      <c r="U39" s="3">
        <f>+T39-P39</f>
        <v>0</v>
      </c>
      <c r="V39" s="3">
        <f>+T39-Q39</f>
        <v>0</v>
      </c>
      <c r="W39" s="3"/>
      <c r="X39" s="3">
        <f>+W39-P39</f>
        <v>0</v>
      </c>
      <c r="Y39" s="10"/>
      <c r="Z39" s="4"/>
      <c r="AA39" s="4"/>
      <c r="AB39" s="5"/>
      <c r="AC39" s="5"/>
      <c r="AD39" s="5"/>
      <c r="AE39" s="5"/>
    </row>
    <row r="40" spans="1:31" ht="15.75" customHeight="1" x14ac:dyDescent="0.25">
      <c r="A40" s="5" t="s">
        <v>65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52">
        <v>3420</v>
      </c>
      <c r="P40" s="3"/>
      <c r="Q40" s="42">
        <v>0</v>
      </c>
      <c r="R40" s="42">
        <f>27752.23+1157+42</f>
        <v>28951.23</v>
      </c>
      <c r="S40" s="3"/>
      <c r="T40" s="3">
        <f t="shared" si="12"/>
        <v>28951.23</v>
      </c>
      <c r="U40" s="3">
        <f>+T40-P40</f>
        <v>28951.23</v>
      </c>
      <c r="V40" s="3">
        <f>+T40-Q40</f>
        <v>28951.23</v>
      </c>
      <c r="W40" s="3">
        <v>0</v>
      </c>
      <c r="X40" s="3">
        <f>+W40-P40</f>
        <v>0</v>
      </c>
      <c r="Y40" s="10"/>
      <c r="Z40" s="57" t="s">
        <v>423</v>
      </c>
      <c r="AA40" s="4"/>
      <c r="AB40" s="5"/>
      <c r="AC40" s="5"/>
      <c r="AD40" s="5"/>
      <c r="AE40" s="5"/>
    </row>
    <row r="41" spans="1:31" ht="15.75" customHeight="1" x14ac:dyDescent="0.25">
      <c r="A41" s="5" t="s">
        <v>66</v>
      </c>
      <c r="B41" s="3">
        <v>5354.52</v>
      </c>
      <c r="C41" s="3">
        <v>5684</v>
      </c>
      <c r="D41" s="3">
        <v>4717.75</v>
      </c>
      <c r="E41" s="3">
        <v>4979.1000000000004</v>
      </c>
      <c r="F41" s="3">
        <v>4397.46</v>
      </c>
      <c r="G41" s="3">
        <v>5806.79</v>
      </c>
      <c r="H41" s="3">
        <v>4835.93</v>
      </c>
      <c r="I41" s="3">
        <v>5758.19</v>
      </c>
      <c r="J41" s="3">
        <v>5228.29</v>
      </c>
      <c r="K41" s="3">
        <v>4674.76</v>
      </c>
      <c r="L41" s="3">
        <v>3607.87</v>
      </c>
      <c r="M41" s="3">
        <v>14072.42</v>
      </c>
      <c r="N41" s="3">
        <v>6299</v>
      </c>
      <c r="O41" s="52">
        <v>8382.01</v>
      </c>
      <c r="P41" s="3">
        <v>13000</v>
      </c>
      <c r="Q41" s="42">
        <v>13000</v>
      </c>
      <c r="R41" s="42">
        <f>12368.08-1157</f>
        <v>11211.08</v>
      </c>
      <c r="S41" s="3">
        <v>5000</v>
      </c>
      <c r="T41" s="3">
        <f t="shared" si="12"/>
        <v>16211.08</v>
      </c>
      <c r="U41" s="3">
        <f>+T41-P41</f>
        <v>3211.08</v>
      </c>
      <c r="V41" s="3">
        <f>+T41-Q41</f>
        <v>3211.08</v>
      </c>
      <c r="W41" s="58">
        <v>17000</v>
      </c>
      <c r="X41" s="3">
        <f>+W41-P41</f>
        <v>4000</v>
      </c>
      <c r="Y41" s="10">
        <f>+X41/P41</f>
        <v>0.30769230769230771</v>
      </c>
      <c r="Z41" s="4" t="s">
        <v>451</v>
      </c>
      <c r="AA41" s="4"/>
      <c r="AB41" s="5"/>
      <c r="AC41" s="5"/>
      <c r="AD41" s="5"/>
      <c r="AE41" s="5"/>
    </row>
    <row r="42" spans="1:31" ht="15.75" customHeight="1" x14ac:dyDescent="0.25">
      <c r="A42" s="1" t="s">
        <v>42</v>
      </c>
      <c r="B42" s="11">
        <f t="shared" ref="B42:X42" si="13">SUM(B37:B41)</f>
        <v>119851.58</v>
      </c>
      <c r="C42" s="11">
        <f t="shared" si="13"/>
        <v>116418</v>
      </c>
      <c r="D42" s="11">
        <f t="shared" si="13"/>
        <v>124091.81</v>
      </c>
      <c r="E42" s="11">
        <f t="shared" si="13"/>
        <v>132312.73000000001</v>
      </c>
      <c r="F42" s="11">
        <f t="shared" si="13"/>
        <v>136533.12</v>
      </c>
      <c r="G42" s="11">
        <f t="shared" si="13"/>
        <v>144186.09</v>
      </c>
      <c r="H42" s="11">
        <f t="shared" si="13"/>
        <v>147678.28</v>
      </c>
      <c r="I42" s="11">
        <f t="shared" si="13"/>
        <v>154783.47999999998</v>
      </c>
      <c r="J42" s="11">
        <f t="shared" si="13"/>
        <v>159633.24000000002</v>
      </c>
      <c r="K42" s="11">
        <f t="shared" si="13"/>
        <v>162959.49000000002</v>
      </c>
      <c r="L42" s="11">
        <f t="shared" si="13"/>
        <v>164085.92000000001</v>
      </c>
      <c r="M42" s="11">
        <f t="shared" si="13"/>
        <v>166166.93000000002</v>
      </c>
      <c r="N42" s="11">
        <f t="shared" si="13"/>
        <v>129790</v>
      </c>
      <c r="O42" s="53">
        <f t="shared" si="13"/>
        <v>146648.69</v>
      </c>
      <c r="P42" s="11">
        <f t="shared" si="13"/>
        <v>197605</v>
      </c>
      <c r="Q42" s="43">
        <f>SUM(Q37:Q41)</f>
        <v>197605</v>
      </c>
      <c r="R42" s="43">
        <f t="shared" si="13"/>
        <v>159582.32</v>
      </c>
      <c r="S42" s="11">
        <f t="shared" si="13"/>
        <v>77984.72</v>
      </c>
      <c r="T42" s="11">
        <f t="shared" si="13"/>
        <v>237567.04000000004</v>
      </c>
      <c r="U42" s="11">
        <f t="shared" si="13"/>
        <v>39962.040000000023</v>
      </c>
      <c r="V42" s="11">
        <f t="shared" si="13"/>
        <v>39962.040000000023</v>
      </c>
      <c r="W42" s="11">
        <f t="shared" si="13"/>
        <v>221705</v>
      </c>
      <c r="X42" s="11">
        <f t="shared" si="13"/>
        <v>24100</v>
      </c>
      <c r="Y42" s="15">
        <f>+X42/P42</f>
        <v>0.12196047670858531</v>
      </c>
      <c r="Z42" s="4"/>
      <c r="AA42" s="4"/>
      <c r="AB42" s="5"/>
      <c r="AC42" s="5"/>
      <c r="AD42" s="5"/>
      <c r="AE42" s="5"/>
    </row>
    <row r="43" spans="1:31" ht="15.75" customHeight="1" x14ac:dyDescent="0.25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52"/>
      <c r="P43" s="3"/>
      <c r="Q43" s="42"/>
      <c r="R43" s="42"/>
      <c r="S43" s="3"/>
      <c r="T43" s="3"/>
      <c r="U43" s="3"/>
      <c r="V43" s="3"/>
      <c r="W43" s="3"/>
      <c r="X43" s="3"/>
      <c r="Y43" s="10"/>
      <c r="Z43" s="4"/>
      <c r="AA43" s="4"/>
      <c r="AB43" s="5"/>
      <c r="AC43" s="5"/>
      <c r="AD43" s="5"/>
      <c r="AE43" s="5"/>
    </row>
    <row r="44" spans="1:31" ht="15.75" customHeight="1" x14ac:dyDescent="0.25">
      <c r="A44" s="9" t="s">
        <v>67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5"/>
      <c r="P44" s="7"/>
      <c r="Q44" s="45"/>
      <c r="R44" s="45"/>
      <c r="S44" s="7"/>
      <c r="T44" s="3"/>
      <c r="U44" s="3"/>
      <c r="V44" s="3"/>
      <c r="W44" s="7"/>
      <c r="X44" s="3"/>
      <c r="Y44" s="10"/>
      <c r="Z44" s="4"/>
      <c r="AA44" s="4"/>
      <c r="AB44" s="5"/>
      <c r="AC44" s="5"/>
      <c r="AD44" s="5"/>
      <c r="AE44" s="5"/>
    </row>
    <row r="45" spans="1:31" ht="15.75" customHeight="1" x14ac:dyDescent="0.25">
      <c r="A45" s="5" t="s">
        <v>68</v>
      </c>
      <c r="B45" s="3">
        <v>9842.5</v>
      </c>
      <c r="C45" s="3">
        <v>12844</v>
      </c>
      <c r="D45" s="3">
        <v>8725</v>
      </c>
      <c r="E45" s="3">
        <v>9087.5</v>
      </c>
      <c r="F45" s="3">
        <v>5031.25</v>
      </c>
      <c r="G45" s="3">
        <v>3675</v>
      </c>
      <c r="H45" s="3">
        <v>3593.75</v>
      </c>
      <c r="I45" s="3">
        <v>2900</v>
      </c>
      <c r="J45" s="3">
        <v>3850</v>
      </c>
      <c r="K45" s="3">
        <v>4050</v>
      </c>
      <c r="L45" s="3">
        <v>3450</v>
      </c>
      <c r="M45" s="3">
        <v>4050</v>
      </c>
      <c r="N45" s="3">
        <v>20800</v>
      </c>
      <c r="O45" s="52">
        <v>19675</v>
      </c>
      <c r="P45" s="3">
        <v>20000</v>
      </c>
      <c r="Q45" s="42">
        <v>20000</v>
      </c>
      <c r="R45" s="42">
        <v>6643.75</v>
      </c>
      <c r="S45" s="3">
        <f>+Q45-R45</f>
        <v>13356.25</v>
      </c>
      <c r="T45" s="3">
        <f t="shared" ref="T45:T46" si="14">+R45+S45</f>
        <v>20000</v>
      </c>
      <c r="U45" s="3">
        <f>+T45-P45</f>
        <v>0</v>
      </c>
      <c r="V45" s="3">
        <f>+T45-Q45</f>
        <v>0</v>
      </c>
      <c r="W45" s="3">
        <v>20000</v>
      </c>
      <c r="X45" s="3">
        <f>+W45-P45</f>
        <v>0</v>
      </c>
      <c r="Y45" s="10">
        <f>+X45/P45</f>
        <v>0</v>
      </c>
      <c r="Z45" s="4"/>
      <c r="AA45" s="4"/>
      <c r="AB45" s="5"/>
      <c r="AC45" s="5"/>
      <c r="AD45" s="5"/>
      <c r="AE45" s="5"/>
    </row>
    <row r="46" spans="1:31" ht="15.75" customHeight="1" x14ac:dyDescent="0.25">
      <c r="A46" s="5" t="s">
        <v>69</v>
      </c>
      <c r="B46" s="3"/>
      <c r="C46" s="3"/>
      <c r="D46" s="3">
        <v>3600</v>
      </c>
      <c r="E46" s="3">
        <v>2990</v>
      </c>
      <c r="F46" s="3">
        <v>1500</v>
      </c>
      <c r="G46" s="3">
        <v>1850</v>
      </c>
      <c r="H46" s="3">
        <v>1900</v>
      </c>
      <c r="I46" s="3">
        <v>1900</v>
      </c>
      <c r="J46" s="3">
        <v>1950</v>
      </c>
      <c r="K46" s="3">
        <v>2000</v>
      </c>
      <c r="L46" s="3">
        <v>2000</v>
      </c>
      <c r="M46" s="3">
        <v>0</v>
      </c>
      <c r="N46" s="3"/>
      <c r="O46" s="52"/>
      <c r="P46" s="3"/>
      <c r="Q46" s="42"/>
      <c r="R46" s="42"/>
      <c r="S46" s="3"/>
      <c r="T46" s="3">
        <f t="shared" si="14"/>
        <v>0</v>
      </c>
      <c r="U46" s="3">
        <f>+T46-P46</f>
        <v>0</v>
      </c>
      <c r="V46" s="3">
        <f>+T46-Q46</f>
        <v>0</v>
      </c>
      <c r="W46" s="3"/>
      <c r="X46" s="3">
        <f>+W46-P46</f>
        <v>0</v>
      </c>
      <c r="Y46" s="10"/>
      <c r="Z46" s="4"/>
      <c r="AA46" s="4"/>
      <c r="AB46" s="5"/>
      <c r="AC46" s="5"/>
      <c r="AD46" s="5"/>
      <c r="AE46" s="5"/>
    </row>
    <row r="47" spans="1:31" ht="15.75" customHeight="1" x14ac:dyDescent="0.25">
      <c r="A47" s="1" t="s">
        <v>42</v>
      </c>
      <c r="B47" s="11">
        <f t="shared" ref="B47:X47" si="15">SUM(B45:B46)</f>
        <v>9842.5</v>
      </c>
      <c r="C47" s="11">
        <f t="shared" si="15"/>
        <v>12844</v>
      </c>
      <c r="D47" s="11">
        <f t="shared" si="15"/>
        <v>12325</v>
      </c>
      <c r="E47" s="11">
        <f t="shared" si="15"/>
        <v>12077.5</v>
      </c>
      <c r="F47" s="11">
        <f t="shared" si="15"/>
        <v>6531.25</v>
      </c>
      <c r="G47" s="11">
        <f t="shared" si="15"/>
        <v>5525</v>
      </c>
      <c r="H47" s="11">
        <f t="shared" si="15"/>
        <v>5493.75</v>
      </c>
      <c r="I47" s="11">
        <f t="shared" si="15"/>
        <v>4800</v>
      </c>
      <c r="J47" s="11">
        <f t="shared" si="15"/>
        <v>5800</v>
      </c>
      <c r="K47" s="11">
        <f t="shared" si="15"/>
        <v>6050</v>
      </c>
      <c r="L47" s="11">
        <f t="shared" si="15"/>
        <v>5450</v>
      </c>
      <c r="M47" s="11">
        <f t="shared" si="15"/>
        <v>4050</v>
      </c>
      <c r="N47" s="11">
        <f t="shared" si="15"/>
        <v>20800</v>
      </c>
      <c r="O47" s="53">
        <f t="shared" si="15"/>
        <v>19675</v>
      </c>
      <c r="P47" s="11">
        <f t="shared" si="15"/>
        <v>20000</v>
      </c>
      <c r="Q47" s="43">
        <f t="shared" si="15"/>
        <v>20000</v>
      </c>
      <c r="R47" s="43">
        <f t="shared" si="15"/>
        <v>6643.75</v>
      </c>
      <c r="S47" s="11">
        <f t="shared" si="15"/>
        <v>13356.25</v>
      </c>
      <c r="T47" s="11">
        <f t="shared" si="15"/>
        <v>20000</v>
      </c>
      <c r="U47" s="11">
        <f t="shared" si="15"/>
        <v>0</v>
      </c>
      <c r="V47" s="11">
        <f t="shared" si="15"/>
        <v>0</v>
      </c>
      <c r="W47" s="11">
        <f>SUM(W45:W46)</f>
        <v>20000</v>
      </c>
      <c r="X47" s="11">
        <f t="shared" si="15"/>
        <v>0</v>
      </c>
      <c r="Y47" s="15">
        <f>+X47/P47</f>
        <v>0</v>
      </c>
      <c r="Z47" s="4"/>
      <c r="AA47" s="4"/>
      <c r="AB47" s="5"/>
      <c r="AC47" s="5"/>
      <c r="AD47" s="5"/>
      <c r="AE47" s="5"/>
    </row>
    <row r="48" spans="1:31" ht="15.75" customHeight="1" x14ac:dyDescent="0.25">
      <c r="A48" s="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53"/>
      <c r="P48" s="11"/>
      <c r="Q48" s="43"/>
      <c r="R48" s="43"/>
      <c r="S48" s="11"/>
      <c r="T48" s="3"/>
      <c r="U48" s="3"/>
      <c r="V48" s="3"/>
      <c r="W48" s="11"/>
      <c r="X48" s="3"/>
      <c r="Y48" s="10"/>
      <c r="Z48" s="4"/>
      <c r="AA48" s="4"/>
      <c r="AB48" s="5"/>
      <c r="AC48" s="5"/>
      <c r="AD48" s="5"/>
      <c r="AE48" s="5"/>
    </row>
    <row r="49" spans="1:31" ht="15.75" customHeight="1" x14ac:dyDescent="0.25">
      <c r="A49" s="9" t="s">
        <v>70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53"/>
      <c r="P49" s="11"/>
      <c r="Q49" s="43"/>
      <c r="R49" s="43"/>
      <c r="S49" s="11"/>
      <c r="T49" s="3"/>
      <c r="U49" s="3"/>
      <c r="V49" s="3"/>
      <c r="W49" s="11"/>
      <c r="X49" s="3"/>
      <c r="Y49" s="10"/>
      <c r="Z49" s="4"/>
      <c r="AA49" s="4"/>
      <c r="AB49" s="5"/>
      <c r="AC49" s="5"/>
      <c r="AD49" s="5"/>
      <c r="AE49" s="5"/>
    </row>
    <row r="50" spans="1:31" ht="15.75" customHeight="1" x14ac:dyDescent="0.25">
      <c r="A50" s="5" t="s">
        <v>71</v>
      </c>
      <c r="B50" s="3"/>
      <c r="C50" s="3"/>
      <c r="D50" s="3"/>
      <c r="E50" s="3"/>
      <c r="F50" s="3"/>
      <c r="G50" s="3"/>
      <c r="H50" s="3"/>
      <c r="I50" s="3"/>
      <c r="J50" s="3"/>
      <c r="K50" s="3">
        <v>5249.97</v>
      </c>
      <c r="L50" s="3">
        <v>6999.96</v>
      </c>
      <c r="M50" s="3">
        <v>6416.63</v>
      </c>
      <c r="N50" s="3">
        <v>6417</v>
      </c>
      <c r="O50" s="52">
        <v>7209.95</v>
      </c>
      <c r="P50" s="3">
        <v>7426</v>
      </c>
      <c r="Q50" s="42">
        <v>7426</v>
      </c>
      <c r="R50" s="42">
        <v>4950.72</v>
      </c>
      <c r="S50" s="3">
        <f>618.84*4</f>
        <v>2475.36</v>
      </c>
      <c r="T50" s="3">
        <f>+R50+S50</f>
        <v>7426.08</v>
      </c>
      <c r="U50" s="3">
        <f>+T50-P50</f>
        <v>7.999999999992724E-2</v>
      </c>
      <c r="V50" s="3">
        <f>+T50-Q50</f>
        <v>7.999999999992724E-2</v>
      </c>
      <c r="W50" s="3">
        <v>7649</v>
      </c>
      <c r="X50" s="3">
        <f>+W50-P50</f>
        <v>223</v>
      </c>
      <c r="Y50" s="10">
        <f>+X50/P50</f>
        <v>3.0029625639644491E-2</v>
      </c>
      <c r="Z50" s="4"/>
      <c r="AA50" s="4"/>
      <c r="AB50" s="5"/>
      <c r="AC50" s="5"/>
      <c r="AD50" s="5"/>
      <c r="AE50" s="5"/>
    </row>
    <row r="51" spans="1:31" ht="15.75" hidden="1" customHeight="1" x14ac:dyDescent="0.25">
      <c r="A51" s="5" t="s">
        <v>72</v>
      </c>
      <c r="B51" s="3">
        <v>6700.08</v>
      </c>
      <c r="C51" s="3">
        <v>6700</v>
      </c>
      <c r="D51" s="3">
        <v>6700.08</v>
      </c>
      <c r="E51" s="3">
        <v>6999.96</v>
      </c>
      <c r="F51" s="3">
        <v>6975</v>
      </c>
      <c r="G51" s="3">
        <v>6999.96</v>
      </c>
      <c r="H51" s="3">
        <v>6999.96</v>
      </c>
      <c r="I51" s="3">
        <v>6999.96</v>
      </c>
      <c r="J51" s="3">
        <v>6999.96</v>
      </c>
      <c r="K51" s="3">
        <v>1749.99</v>
      </c>
      <c r="L51" s="3"/>
      <c r="M51" s="3"/>
      <c r="N51" s="3"/>
      <c r="O51" s="52"/>
      <c r="P51" s="3"/>
      <c r="Q51" s="42"/>
      <c r="R51" s="42"/>
      <c r="S51" s="3"/>
      <c r="T51" s="3"/>
      <c r="U51" s="3"/>
      <c r="V51" s="3">
        <f>+T51-Q51</f>
        <v>0</v>
      </c>
      <c r="W51" s="3"/>
      <c r="X51" s="3">
        <f>+W51-P51</f>
        <v>0</v>
      </c>
      <c r="Y51" s="10"/>
      <c r="Z51" s="4"/>
      <c r="AA51" s="4"/>
      <c r="AB51" s="5"/>
      <c r="AC51" s="5"/>
      <c r="AD51" s="5"/>
      <c r="AE51" s="5"/>
    </row>
    <row r="52" spans="1:31" ht="15.75" customHeight="1" x14ac:dyDescent="0.25">
      <c r="A52" s="1" t="s">
        <v>42</v>
      </c>
      <c r="B52" s="11">
        <f t="shared" ref="B52:X52" si="16">SUM(B50:B51)</f>
        <v>6700.08</v>
      </c>
      <c r="C52" s="11">
        <f t="shared" si="16"/>
        <v>6700</v>
      </c>
      <c r="D52" s="11">
        <f t="shared" si="16"/>
        <v>6700.08</v>
      </c>
      <c r="E52" s="11">
        <f t="shared" si="16"/>
        <v>6999.96</v>
      </c>
      <c r="F52" s="11">
        <f t="shared" si="16"/>
        <v>6975</v>
      </c>
      <c r="G52" s="11">
        <f t="shared" si="16"/>
        <v>6999.96</v>
      </c>
      <c r="H52" s="11">
        <f t="shared" si="16"/>
        <v>6999.96</v>
      </c>
      <c r="I52" s="11">
        <f t="shared" si="16"/>
        <v>6999.96</v>
      </c>
      <c r="J52" s="11">
        <f t="shared" si="16"/>
        <v>6999.96</v>
      </c>
      <c r="K52" s="11">
        <f t="shared" si="16"/>
        <v>6999.96</v>
      </c>
      <c r="L52" s="11">
        <f t="shared" si="16"/>
        <v>6999.96</v>
      </c>
      <c r="M52" s="11">
        <f t="shared" si="16"/>
        <v>6416.63</v>
      </c>
      <c r="N52" s="11">
        <f t="shared" si="16"/>
        <v>6417</v>
      </c>
      <c r="O52" s="53">
        <f t="shared" si="16"/>
        <v>7209.95</v>
      </c>
      <c r="P52" s="11">
        <f t="shared" si="16"/>
        <v>7426</v>
      </c>
      <c r="Q52" s="43">
        <f t="shared" si="16"/>
        <v>7426</v>
      </c>
      <c r="R52" s="43">
        <f t="shared" si="16"/>
        <v>4950.72</v>
      </c>
      <c r="S52" s="11">
        <f t="shared" si="16"/>
        <v>2475.36</v>
      </c>
      <c r="T52" s="11">
        <f t="shared" si="16"/>
        <v>7426.08</v>
      </c>
      <c r="U52" s="11">
        <f t="shared" si="16"/>
        <v>7.999999999992724E-2</v>
      </c>
      <c r="V52" s="11">
        <f t="shared" si="16"/>
        <v>7.999999999992724E-2</v>
      </c>
      <c r="W52" s="11">
        <f t="shared" si="16"/>
        <v>7649</v>
      </c>
      <c r="X52" s="11">
        <f t="shared" si="16"/>
        <v>223</v>
      </c>
      <c r="Y52" s="10">
        <f>+X52/P52</f>
        <v>3.0029625639644491E-2</v>
      </c>
      <c r="Z52" s="4"/>
      <c r="AA52" s="4"/>
      <c r="AB52" s="5"/>
      <c r="AC52" s="5"/>
      <c r="AD52" s="5"/>
      <c r="AE52" s="5"/>
    </row>
    <row r="53" spans="1:31" ht="15.75" customHeight="1" x14ac:dyDescent="0.25">
      <c r="A53" s="1" t="s">
        <v>73</v>
      </c>
      <c r="B53" s="13">
        <f t="shared" ref="B53:M53" si="17">+B52+B47+B42</f>
        <v>136394.16</v>
      </c>
      <c r="C53" s="13">
        <f t="shared" si="17"/>
        <v>135962</v>
      </c>
      <c r="D53" s="13">
        <f t="shared" si="17"/>
        <v>143116.89000000001</v>
      </c>
      <c r="E53" s="13">
        <f t="shared" si="17"/>
        <v>151390.19</v>
      </c>
      <c r="F53" s="13">
        <f t="shared" si="17"/>
        <v>150039.37</v>
      </c>
      <c r="G53" s="13">
        <f t="shared" si="17"/>
        <v>156711.04999999999</v>
      </c>
      <c r="H53" s="13">
        <f t="shared" si="17"/>
        <v>160171.99</v>
      </c>
      <c r="I53" s="13">
        <f t="shared" si="17"/>
        <v>166583.43999999997</v>
      </c>
      <c r="J53" s="13">
        <f t="shared" si="17"/>
        <v>172433.2</v>
      </c>
      <c r="K53" s="13">
        <f t="shared" si="17"/>
        <v>176009.45</v>
      </c>
      <c r="L53" s="13">
        <f t="shared" si="17"/>
        <v>176535.88</v>
      </c>
      <c r="M53" s="13">
        <f t="shared" si="17"/>
        <v>176633.56000000003</v>
      </c>
      <c r="N53" s="13">
        <f>SUM(N52,N47,N42)</f>
        <v>157007</v>
      </c>
      <c r="O53" s="54">
        <f t="shared" ref="O53:X53" si="18">+O52+O47+O42</f>
        <v>173533.64</v>
      </c>
      <c r="P53" s="13">
        <f t="shared" si="18"/>
        <v>225031</v>
      </c>
      <c r="Q53" s="44">
        <f>+Q52+Q47+Q42</f>
        <v>225031</v>
      </c>
      <c r="R53" s="44">
        <f t="shared" si="18"/>
        <v>171176.79</v>
      </c>
      <c r="S53" s="13">
        <f t="shared" si="18"/>
        <v>93816.33</v>
      </c>
      <c r="T53" s="13">
        <f t="shared" si="18"/>
        <v>264993.12000000005</v>
      </c>
      <c r="U53" s="13">
        <f t="shared" si="18"/>
        <v>39962.120000000024</v>
      </c>
      <c r="V53" s="13">
        <f t="shared" si="18"/>
        <v>39962.120000000024</v>
      </c>
      <c r="W53" s="13">
        <f t="shared" si="18"/>
        <v>249354</v>
      </c>
      <c r="X53" s="13">
        <f t="shared" si="18"/>
        <v>24323</v>
      </c>
      <c r="Y53" s="16">
        <f>+X53/P53</f>
        <v>0.1080873301900627</v>
      </c>
      <c r="Z53" s="4"/>
      <c r="AA53" s="4"/>
      <c r="AB53" s="5"/>
      <c r="AC53" s="5"/>
      <c r="AD53" s="5"/>
      <c r="AE53" s="5"/>
    </row>
    <row r="54" spans="1:31" ht="15.75" customHeight="1" x14ac:dyDescent="0.25">
      <c r="A54" s="1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54"/>
      <c r="P54" s="13"/>
      <c r="Q54" s="44"/>
      <c r="R54" s="42"/>
      <c r="S54" s="3"/>
      <c r="T54" s="3"/>
      <c r="U54" s="3"/>
      <c r="V54" s="3"/>
      <c r="W54" s="13"/>
      <c r="X54" s="3"/>
      <c r="Y54" s="10"/>
      <c r="Z54" s="4"/>
      <c r="AA54" s="4"/>
      <c r="AB54" s="5"/>
      <c r="AC54" s="5"/>
      <c r="AD54" s="5"/>
      <c r="AE54" s="5"/>
    </row>
    <row r="55" spans="1:31" ht="15.75" customHeight="1" x14ac:dyDescent="0.25">
      <c r="A55" s="8" t="s">
        <v>74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52"/>
      <c r="P55" s="3"/>
      <c r="Q55" s="42"/>
      <c r="R55" s="42"/>
      <c r="S55" s="3"/>
      <c r="T55" s="3"/>
      <c r="U55" s="3"/>
      <c r="V55" s="3"/>
      <c r="W55" s="3"/>
      <c r="X55" s="3"/>
      <c r="Y55" s="10"/>
      <c r="Z55" s="4"/>
      <c r="AA55" s="4"/>
      <c r="AB55" s="5"/>
      <c r="AC55" s="5"/>
      <c r="AD55" s="5"/>
      <c r="AE55" s="5"/>
    </row>
    <row r="56" spans="1:31" ht="15.75" customHeight="1" x14ac:dyDescent="0.25">
      <c r="A56" s="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53"/>
      <c r="P56" s="11"/>
      <c r="Q56" s="43"/>
      <c r="R56" s="43"/>
      <c r="S56" s="11"/>
      <c r="T56" s="3"/>
      <c r="U56" s="3"/>
      <c r="V56" s="3"/>
      <c r="W56" s="11"/>
      <c r="X56" s="3"/>
      <c r="Y56" s="10"/>
      <c r="Z56" s="4"/>
      <c r="AA56" s="4"/>
      <c r="AB56" s="5"/>
      <c r="AC56" s="5"/>
      <c r="AD56" s="5"/>
      <c r="AE56" s="5"/>
    </row>
    <row r="57" spans="1:31" ht="15.75" hidden="1" customHeight="1" x14ac:dyDescent="0.25">
      <c r="A57" s="32" t="s">
        <v>409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53"/>
      <c r="P57" s="11"/>
      <c r="Q57" s="43"/>
      <c r="R57" s="43"/>
      <c r="S57" s="11"/>
      <c r="T57" s="3"/>
      <c r="U57" s="3"/>
      <c r="V57" s="3"/>
      <c r="W57" s="11"/>
      <c r="X57" s="3"/>
      <c r="Y57" s="10"/>
      <c r="Z57" s="4"/>
      <c r="AA57" s="4"/>
      <c r="AB57" s="5"/>
      <c r="AC57" s="5"/>
      <c r="AD57" s="5"/>
      <c r="AE57" s="5"/>
    </row>
    <row r="58" spans="1:31" ht="15.75" hidden="1" customHeight="1" x14ac:dyDescent="0.25">
      <c r="A58" s="34" t="s">
        <v>410</v>
      </c>
      <c r="B58" s="3">
        <v>71166.37</v>
      </c>
      <c r="C58" s="3">
        <v>49795</v>
      </c>
      <c r="D58" s="3">
        <v>44359.95</v>
      </c>
      <c r="E58" s="3">
        <v>28874.880000000001</v>
      </c>
      <c r="F58" s="3">
        <v>28777.67</v>
      </c>
      <c r="G58" s="3">
        <v>28630.959999999999</v>
      </c>
      <c r="H58" s="3">
        <v>27590.6</v>
      </c>
      <c r="I58" s="3">
        <v>28195.8</v>
      </c>
      <c r="J58" s="3">
        <v>34025.410000000003</v>
      </c>
      <c r="K58" s="3"/>
      <c r="L58" s="3"/>
      <c r="M58" s="3"/>
      <c r="N58" s="3"/>
      <c r="O58" s="52"/>
      <c r="P58" s="3"/>
      <c r="Q58" s="42">
        <v>0</v>
      </c>
      <c r="R58" s="42"/>
      <c r="S58" s="11"/>
      <c r="T58" s="3">
        <f>+R58+S58</f>
        <v>0</v>
      </c>
      <c r="U58" s="3">
        <f>+T58-P58</f>
        <v>0</v>
      </c>
      <c r="V58" s="3">
        <f>+T58-Q58</f>
        <v>0</v>
      </c>
      <c r="W58" s="3"/>
      <c r="X58" s="3"/>
      <c r="Y58" s="10"/>
      <c r="Z58" s="4"/>
      <c r="AA58" s="4"/>
      <c r="AB58" s="5"/>
      <c r="AC58" s="5"/>
      <c r="AD58" s="5"/>
      <c r="AE58" s="5"/>
    </row>
    <row r="59" spans="1:31" ht="15.75" hidden="1" customHeight="1" x14ac:dyDescent="0.25">
      <c r="A59" s="1" t="s">
        <v>42</v>
      </c>
      <c r="B59" s="11">
        <f t="shared" ref="B59:R59" si="19">SUM(B58)</f>
        <v>71166.37</v>
      </c>
      <c r="C59" s="11">
        <f t="shared" si="19"/>
        <v>49795</v>
      </c>
      <c r="D59" s="11">
        <f t="shared" si="19"/>
        <v>44359.95</v>
      </c>
      <c r="E59" s="11">
        <f t="shared" si="19"/>
        <v>28874.880000000001</v>
      </c>
      <c r="F59" s="11">
        <f t="shared" si="19"/>
        <v>28777.67</v>
      </c>
      <c r="G59" s="11">
        <f t="shared" si="19"/>
        <v>28630.959999999999</v>
      </c>
      <c r="H59" s="11">
        <f t="shared" si="19"/>
        <v>27590.6</v>
      </c>
      <c r="I59" s="11">
        <f t="shared" si="19"/>
        <v>28195.8</v>
      </c>
      <c r="J59" s="11">
        <f t="shared" si="19"/>
        <v>34025.410000000003</v>
      </c>
      <c r="K59" s="11">
        <f>SUM(K58)</f>
        <v>0</v>
      </c>
      <c r="L59" s="11">
        <f t="shared" si="19"/>
        <v>0</v>
      </c>
      <c r="M59" s="11">
        <f t="shared" si="19"/>
        <v>0</v>
      </c>
      <c r="N59" s="11">
        <f t="shared" si="19"/>
        <v>0</v>
      </c>
      <c r="O59" s="53">
        <f t="shared" si="19"/>
        <v>0</v>
      </c>
      <c r="P59" s="11">
        <f t="shared" si="19"/>
        <v>0</v>
      </c>
      <c r="Q59" s="43">
        <f t="shared" si="19"/>
        <v>0</v>
      </c>
      <c r="R59" s="43">
        <f t="shared" si="19"/>
        <v>0</v>
      </c>
      <c r="S59" s="11"/>
      <c r="T59" s="11">
        <f t="shared" ref="T59:W59" si="20">SUM(T58)</f>
        <v>0</v>
      </c>
      <c r="U59" s="11">
        <f t="shared" si="20"/>
        <v>0</v>
      </c>
      <c r="V59" s="11">
        <f t="shared" si="20"/>
        <v>0</v>
      </c>
      <c r="W59" s="11">
        <f t="shared" si="20"/>
        <v>0</v>
      </c>
      <c r="X59" s="3"/>
      <c r="Y59" s="10"/>
      <c r="Z59" s="4"/>
      <c r="AA59" s="4"/>
      <c r="AB59" s="5"/>
      <c r="AC59" s="5"/>
      <c r="AD59" s="5"/>
      <c r="AE59" s="5"/>
    </row>
    <row r="60" spans="1:31" ht="15.75" hidden="1" customHeight="1" x14ac:dyDescent="0.25">
      <c r="A60" s="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53"/>
      <c r="P60" s="11"/>
      <c r="Q60" s="43"/>
      <c r="R60" s="43"/>
      <c r="S60" s="11"/>
      <c r="T60" s="3"/>
      <c r="U60" s="3"/>
      <c r="V60" s="3"/>
      <c r="W60" s="59" t="s">
        <v>60</v>
      </c>
      <c r="X60" s="3"/>
      <c r="Y60" s="10"/>
      <c r="Z60" s="4"/>
      <c r="AA60" s="4"/>
      <c r="AB60" s="5"/>
      <c r="AC60" s="5"/>
      <c r="AD60" s="5"/>
      <c r="AE60" s="5"/>
    </row>
    <row r="61" spans="1:31" ht="15.75" customHeight="1" x14ac:dyDescent="0.25">
      <c r="A61" s="9" t="s">
        <v>75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53"/>
      <c r="P61" s="11"/>
      <c r="Q61" s="43"/>
      <c r="R61" s="43"/>
      <c r="S61" s="11"/>
      <c r="T61" s="3"/>
      <c r="U61" s="3"/>
      <c r="V61" s="3"/>
      <c r="W61" s="11"/>
      <c r="X61" s="3"/>
      <c r="Y61" s="10"/>
      <c r="Z61" s="4"/>
      <c r="AA61" s="4"/>
      <c r="AB61" s="5"/>
      <c r="AC61" s="5"/>
      <c r="AD61" s="5"/>
      <c r="AE61" s="5"/>
    </row>
    <row r="62" spans="1:31" ht="15.75" customHeight="1" x14ac:dyDescent="0.25">
      <c r="A62" s="5" t="s">
        <v>76</v>
      </c>
      <c r="B62" s="3">
        <v>71166.37</v>
      </c>
      <c r="C62" s="3">
        <v>49795</v>
      </c>
      <c r="D62" s="3">
        <v>44359.95</v>
      </c>
      <c r="E62" s="3">
        <v>28874.880000000001</v>
      </c>
      <c r="F62" s="3">
        <v>28777.67</v>
      </c>
      <c r="G62" s="3">
        <v>28630.959999999999</v>
      </c>
      <c r="H62" s="3">
        <v>27590.6</v>
      </c>
      <c r="I62" s="3">
        <v>28195.8</v>
      </c>
      <c r="J62" s="3">
        <v>34025.410000000003</v>
      </c>
      <c r="K62" s="3">
        <v>28429</v>
      </c>
      <c r="L62" s="3">
        <v>27802.59</v>
      </c>
      <c r="M62" s="3">
        <v>27629.360000000001</v>
      </c>
      <c r="N62" s="3">
        <v>72645</v>
      </c>
      <c r="O62" s="52">
        <v>53417.68</v>
      </c>
      <c r="P62" s="3">
        <v>32000</v>
      </c>
      <c r="Q62" s="42">
        <v>32000</v>
      </c>
      <c r="R62" s="42">
        <v>14029.14</v>
      </c>
      <c r="S62" s="3">
        <f>1600*4</f>
        <v>6400</v>
      </c>
      <c r="T62" s="3">
        <f>+R62+S62</f>
        <v>20429.14</v>
      </c>
      <c r="U62" s="3">
        <f>+T62-P62</f>
        <v>-11570.86</v>
      </c>
      <c r="V62" s="3">
        <f>+T62-Q62</f>
        <v>-11570.86</v>
      </c>
      <c r="W62" s="3">
        <v>32000</v>
      </c>
      <c r="X62" s="3">
        <f>+W62-P62</f>
        <v>0</v>
      </c>
      <c r="Y62" s="10">
        <f>+X62/P62</f>
        <v>0</v>
      </c>
      <c r="Z62" s="57"/>
      <c r="AA62" s="4"/>
      <c r="AB62" s="5"/>
      <c r="AC62" s="5"/>
      <c r="AD62" s="5"/>
      <c r="AE62" s="5"/>
    </row>
    <row r="63" spans="1:31" ht="15.75" customHeight="1" x14ac:dyDescent="0.25">
      <c r="A63" s="1" t="s">
        <v>42</v>
      </c>
      <c r="B63" s="11">
        <f t="shared" ref="B63:X63" si="21">SUM(B62)</f>
        <v>71166.37</v>
      </c>
      <c r="C63" s="11">
        <f t="shared" si="21"/>
        <v>49795</v>
      </c>
      <c r="D63" s="11">
        <f t="shared" si="21"/>
        <v>44359.95</v>
      </c>
      <c r="E63" s="11">
        <f t="shared" si="21"/>
        <v>28874.880000000001</v>
      </c>
      <c r="F63" s="11">
        <f t="shared" si="21"/>
        <v>28777.67</v>
      </c>
      <c r="G63" s="11">
        <f t="shared" si="21"/>
        <v>28630.959999999999</v>
      </c>
      <c r="H63" s="11">
        <f t="shared" si="21"/>
        <v>27590.6</v>
      </c>
      <c r="I63" s="11">
        <f t="shared" si="21"/>
        <v>28195.8</v>
      </c>
      <c r="J63" s="11">
        <f t="shared" si="21"/>
        <v>34025.410000000003</v>
      </c>
      <c r="K63" s="11">
        <f t="shared" si="21"/>
        <v>28429</v>
      </c>
      <c r="L63" s="11">
        <f t="shared" si="21"/>
        <v>27802.59</v>
      </c>
      <c r="M63" s="11">
        <f t="shared" si="21"/>
        <v>27629.360000000001</v>
      </c>
      <c r="N63" s="11">
        <f t="shared" si="21"/>
        <v>72645</v>
      </c>
      <c r="O63" s="53">
        <f t="shared" si="21"/>
        <v>53417.68</v>
      </c>
      <c r="P63" s="11">
        <f t="shared" si="21"/>
        <v>32000</v>
      </c>
      <c r="Q63" s="43">
        <f>SUM(Q62)</f>
        <v>32000</v>
      </c>
      <c r="R63" s="43">
        <f t="shared" si="21"/>
        <v>14029.14</v>
      </c>
      <c r="S63" s="11">
        <f t="shared" si="21"/>
        <v>6400</v>
      </c>
      <c r="T63" s="11">
        <f t="shared" si="21"/>
        <v>20429.14</v>
      </c>
      <c r="U63" s="11">
        <f t="shared" si="21"/>
        <v>-11570.86</v>
      </c>
      <c r="V63" s="11">
        <f t="shared" si="21"/>
        <v>-11570.86</v>
      </c>
      <c r="W63" s="11">
        <f t="shared" si="21"/>
        <v>32000</v>
      </c>
      <c r="X63" s="11">
        <f t="shared" si="21"/>
        <v>0</v>
      </c>
      <c r="Y63" s="15">
        <f>+X63/P63</f>
        <v>0</v>
      </c>
      <c r="Z63" s="4"/>
      <c r="AA63" s="4"/>
      <c r="AB63" s="5"/>
      <c r="AC63" s="5"/>
      <c r="AD63" s="5"/>
      <c r="AE63" s="5"/>
    </row>
    <row r="64" spans="1:31" ht="15.75" customHeight="1" x14ac:dyDescent="0.25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52"/>
      <c r="P64" s="3"/>
      <c r="Q64" s="42"/>
      <c r="R64" s="42"/>
      <c r="S64" s="3"/>
      <c r="T64" s="3"/>
      <c r="U64" s="3"/>
      <c r="V64" s="3"/>
      <c r="W64" s="3"/>
      <c r="X64" s="3"/>
      <c r="Y64" s="10"/>
      <c r="Z64" s="4"/>
      <c r="AA64" s="4"/>
      <c r="AB64" s="5"/>
      <c r="AC64" s="5"/>
      <c r="AD64" s="5"/>
      <c r="AE64" s="5"/>
    </row>
    <row r="65" spans="1:31" ht="15.75" customHeight="1" x14ac:dyDescent="0.25">
      <c r="A65" s="9" t="s">
        <v>77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52"/>
      <c r="P65" s="3"/>
      <c r="Q65" s="42"/>
      <c r="R65" s="42"/>
      <c r="S65" s="3"/>
      <c r="T65" s="3"/>
      <c r="U65" s="3"/>
      <c r="V65" s="3"/>
      <c r="W65" s="3"/>
      <c r="X65" s="3"/>
      <c r="Y65" s="10"/>
      <c r="Z65" s="4"/>
      <c r="AA65" s="4"/>
      <c r="AB65" s="5"/>
      <c r="AC65" s="5"/>
      <c r="AD65" s="5"/>
      <c r="AE65" s="5"/>
    </row>
    <row r="66" spans="1:31" ht="15.75" hidden="1" customHeight="1" x14ac:dyDescent="0.25">
      <c r="A66" s="17" t="s">
        <v>78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52"/>
      <c r="P66" s="3"/>
      <c r="Q66" s="42"/>
      <c r="R66" s="42"/>
      <c r="S66" s="3"/>
      <c r="T66" s="3"/>
      <c r="U66" s="3"/>
      <c r="V66" s="3"/>
      <c r="W66" s="3"/>
      <c r="X66" s="3"/>
      <c r="Y66" s="10"/>
      <c r="Z66" s="4"/>
      <c r="AA66" s="4"/>
      <c r="AB66" s="5"/>
      <c r="AC66" s="5"/>
      <c r="AD66" s="5"/>
      <c r="AE66" s="5"/>
    </row>
    <row r="67" spans="1:31" ht="15.75" hidden="1" customHeight="1" x14ac:dyDescent="0.25">
      <c r="A67" s="17" t="s">
        <v>79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52"/>
      <c r="P67" s="3"/>
      <c r="Q67" s="42"/>
      <c r="R67" s="42">
        <v>0</v>
      </c>
      <c r="S67" s="3"/>
      <c r="T67" s="3"/>
      <c r="U67" s="3"/>
      <c r="V67" s="3"/>
      <c r="W67" s="3"/>
      <c r="X67" s="3"/>
      <c r="Y67" s="10"/>
      <c r="Z67" s="4"/>
      <c r="AA67" s="4"/>
      <c r="AB67" s="5"/>
      <c r="AC67" s="5"/>
      <c r="AD67" s="5"/>
      <c r="AE67" s="5"/>
    </row>
    <row r="68" spans="1:31" ht="15.75" customHeight="1" x14ac:dyDescent="0.25">
      <c r="A68" s="17" t="s">
        <v>80</v>
      </c>
      <c r="B68" s="3">
        <v>39115.89</v>
      </c>
      <c r="C68" s="3">
        <v>27009</v>
      </c>
      <c r="D68" s="3">
        <v>39292.28</v>
      </c>
      <c r="E68" s="3">
        <v>25584.1</v>
      </c>
      <c r="F68" s="3">
        <v>24341.23</v>
      </c>
      <c r="G68" s="3">
        <v>32683.22</v>
      </c>
      <c r="H68" s="3">
        <v>63233.65</v>
      </c>
      <c r="I68" s="3">
        <v>30673.7</v>
      </c>
      <c r="J68" s="3">
        <v>51741.66</v>
      </c>
      <c r="K68" s="3">
        <v>21826.15</v>
      </c>
      <c r="L68" s="3">
        <v>70646.37</v>
      </c>
      <c r="M68" s="3">
        <v>26926.95</v>
      </c>
      <c r="N68" s="3">
        <v>29852</v>
      </c>
      <c r="O68" s="52">
        <v>30762.43</v>
      </c>
      <c r="P68" s="3">
        <f>35000+7550</f>
        <v>42550</v>
      </c>
      <c r="Q68" s="42">
        <v>42550</v>
      </c>
      <c r="R68" s="42">
        <v>17592.2</v>
      </c>
      <c r="S68" s="3">
        <f>+(2000*4)+7550</f>
        <v>15550</v>
      </c>
      <c r="T68" s="3">
        <f>+R68+S68</f>
        <v>33142.199999999997</v>
      </c>
      <c r="U68" s="3">
        <f>+T68-P68</f>
        <v>-9407.8000000000029</v>
      </c>
      <c r="V68" s="3">
        <f>+T68-Q68</f>
        <v>-9407.8000000000029</v>
      </c>
      <c r="W68" s="3">
        <v>33000</v>
      </c>
      <c r="X68" s="3">
        <f>+W68-P68</f>
        <v>-9550</v>
      </c>
      <c r="Y68" s="10">
        <f>+X68/P68</f>
        <v>-0.22444183313748531</v>
      </c>
      <c r="Z68" s="57" t="s">
        <v>443</v>
      </c>
      <c r="AA68" s="4"/>
      <c r="AB68" s="5"/>
      <c r="AC68" s="5"/>
      <c r="AD68" s="5"/>
      <c r="AE68" s="5"/>
    </row>
    <row r="69" spans="1:31" ht="15.75" customHeight="1" x14ac:dyDescent="0.25">
      <c r="A69" s="1" t="s">
        <v>42</v>
      </c>
      <c r="B69" s="11">
        <f t="shared" ref="B69:M69" si="22">SUM(B68)</f>
        <v>39115.89</v>
      </c>
      <c r="C69" s="11">
        <f t="shared" si="22"/>
        <v>27009</v>
      </c>
      <c r="D69" s="11">
        <f t="shared" si="22"/>
        <v>39292.28</v>
      </c>
      <c r="E69" s="11">
        <f t="shared" si="22"/>
        <v>25584.1</v>
      </c>
      <c r="F69" s="11">
        <f t="shared" si="22"/>
        <v>24341.23</v>
      </c>
      <c r="G69" s="11">
        <f t="shared" si="22"/>
        <v>32683.22</v>
      </c>
      <c r="H69" s="11">
        <f t="shared" si="22"/>
        <v>63233.65</v>
      </c>
      <c r="I69" s="11">
        <f t="shared" si="22"/>
        <v>30673.7</v>
      </c>
      <c r="J69" s="11">
        <f t="shared" si="22"/>
        <v>51741.66</v>
      </c>
      <c r="K69" s="11">
        <f t="shared" si="22"/>
        <v>21826.15</v>
      </c>
      <c r="L69" s="11">
        <f t="shared" si="22"/>
        <v>70646.37</v>
      </c>
      <c r="M69" s="11">
        <f t="shared" si="22"/>
        <v>26926.95</v>
      </c>
      <c r="N69" s="11">
        <f t="shared" ref="N69:O69" si="23">SUM(N66:N68)</f>
        <v>29852</v>
      </c>
      <c r="O69" s="53">
        <f t="shared" si="23"/>
        <v>30762.43</v>
      </c>
      <c r="P69" s="11">
        <f>SUM(P68)</f>
        <v>42550</v>
      </c>
      <c r="Q69" s="43">
        <f>SUM(Q66:Q68)</f>
        <v>42550</v>
      </c>
      <c r="R69" s="43">
        <f t="shared" ref="R69:X69" si="24">SUM(R68)</f>
        <v>17592.2</v>
      </c>
      <c r="S69" s="11">
        <f t="shared" si="24"/>
        <v>15550</v>
      </c>
      <c r="T69" s="11">
        <f t="shared" si="24"/>
        <v>33142.199999999997</v>
      </c>
      <c r="U69" s="11">
        <f t="shared" si="24"/>
        <v>-9407.8000000000029</v>
      </c>
      <c r="V69" s="11">
        <f t="shared" si="24"/>
        <v>-9407.8000000000029</v>
      </c>
      <c r="W69" s="11">
        <f t="shared" si="24"/>
        <v>33000</v>
      </c>
      <c r="X69" s="11">
        <f t="shared" si="24"/>
        <v>-9550</v>
      </c>
      <c r="Y69" s="10">
        <f>+X69/P69</f>
        <v>-0.22444183313748531</v>
      </c>
      <c r="Z69" s="4"/>
      <c r="AA69" s="4"/>
      <c r="AB69" s="5"/>
      <c r="AC69" s="5"/>
      <c r="AD69" s="5"/>
      <c r="AE69" s="5"/>
    </row>
    <row r="70" spans="1:31" ht="15.75" customHeight="1" x14ac:dyDescent="0.25">
      <c r="A70" s="1" t="s">
        <v>81</v>
      </c>
      <c r="B70" s="13">
        <f t="shared" ref="B70:X70" si="25">+B63+B69</f>
        <v>110282.26</v>
      </c>
      <c r="C70" s="13">
        <f t="shared" si="25"/>
        <v>76804</v>
      </c>
      <c r="D70" s="13">
        <f t="shared" si="25"/>
        <v>83652.23</v>
      </c>
      <c r="E70" s="13">
        <f t="shared" si="25"/>
        <v>54458.979999999996</v>
      </c>
      <c r="F70" s="13">
        <f t="shared" si="25"/>
        <v>53118.899999999994</v>
      </c>
      <c r="G70" s="13">
        <f t="shared" si="25"/>
        <v>61314.18</v>
      </c>
      <c r="H70" s="13">
        <f t="shared" si="25"/>
        <v>90824.25</v>
      </c>
      <c r="I70" s="13">
        <f t="shared" si="25"/>
        <v>58869.5</v>
      </c>
      <c r="J70" s="13">
        <f t="shared" si="25"/>
        <v>85767.07</v>
      </c>
      <c r="K70" s="13">
        <f t="shared" ref="K70:M70" si="26">+K63+K59+K69</f>
        <v>50255.15</v>
      </c>
      <c r="L70" s="13">
        <f t="shared" si="26"/>
        <v>98448.959999999992</v>
      </c>
      <c r="M70" s="13">
        <f t="shared" si="26"/>
        <v>54556.31</v>
      </c>
      <c r="N70" s="13">
        <f>+N63+N59+N69</f>
        <v>102497</v>
      </c>
      <c r="O70" s="54">
        <f>+O63+O59+O69</f>
        <v>84180.11</v>
      </c>
      <c r="P70" s="13">
        <f>+P63+P59+P69</f>
        <v>74550</v>
      </c>
      <c r="Q70" s="44">
        <f>+Q63+Q59+Q69</f>
        <v>74550</v>
      </c>
      <c r="R70" s="44">
        <f>+R63+R59+R69</f>
        <v>31621.34</v>
      </c>
      <c r="S70" s="13">
        <f t="shared" si="25"/>
        <v>21950</v>
      </c>
      <c r="T70" s="13">
        <f t="shared" ref="T70:W70" si="27">+T63+T59+T69</f>
        <v>53571.34</v>
      </c>
      <c r="U70" s="13">
        <f t="shared" si="27"/>
        <v>-20978.660000000003</v>
      </c>
      <c r="V70" s="13">
        <f t="shared" si="27"/>
        <v>-20978.660000000003</v>
      </c>
      <c r="W70" s="13">
        <f t="shared" si="27"/>
        <v>65000</v>
      </c>
      <c r="X70" s="13">
        <f t="shared" si="25"/>
        <v>-9550</v>
      </c>
      <c r="Y70" s="18">
        <f>+X70/P70</f>
        <v>-0.12810194500335345</v>
      </c>
      <c r="Z70" s="4"/>
      <c r="AA70" s="4"/>
      <c r="AB70" s="5"/>
      <c r="AC70" s="5"/>
      <c r="AD70" s="5"/>
      <c r="AE70" s="5"/>
    </row>
    <row r="71" spans="1:31" ht="15.75" customHeight="1" x14ac:dyDescent="0.25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52"/>
      <c r="P71" s="3"/>
      <c r="Q71" s="42"/>
      <c r="R71" s="42"/>
      <c r="S71" s="3"/>
      <c r="T71" s="3"/>
      <c r="U71" s="3"/>
      <c r="V71" s="3"/>
      <c r="W71" s="3"/>
      <c r="X71" s="3"/>
      <c r="Y71" s="10"/>
      <c r="Z71" s="4"/>
      <c r="AA71" s="4"/>
      <c r="AB71" s="5"/>
      <c r="AC71" s="5"/>
      <c r="AD71" s="5"/>
      <c r="AE71" s="5"/>
    </row>
    <row r="72" spans="1:31" ht="15.75" customHeight="1" x14ac:dyDescent="0.25">
      <c r="A72" s="9" t="s">
        <v>82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52"/>
      <c r="P72" s="3"/>
      <c r="Q72" s="42"/>
      <c r="R72" s="42"/>
      <c r="S72" s="3"/>
      <c r="T72" s="3"/>
      <c r="U72" s="3"/>
      <c r="V72" s="3"/>
      <c r="W72" s="3"/>
      <c r="X72" s="3"/>
      <c r="Y72" s="10"/>
      <c r="Z72" s="4"/>
      <c r="AA72" s="4"/>
      <c r="AB72" s="5"/>
      <c r="AC72" s="5"/>
      <c r="AD72" s="5"/>
      <c r="AE72" s="5"/>
    </row>
    <row r="73" spans="1:31" ht="15.75" customHeight="1" x14ac:dyDescent="0.25">
      <c r="A73" s="17" t="s">
        <v>83</v>
      </c>
      <c r="B73" s="3">
        <v>1142.25</v>
      </c>
      <c r="C73" s="3">
        <v>1806</v>
      </c>
      <c r="D73" s="3">
        <v>1116.18</v>
      </c>
      <c r="E73" s="3">
        <v>1597.58</v>
      </c>
      <c r="F73" s="3">
        <v>1078.22</v>
      </c>
      <c r="G73" s="3">
        <v>1310.84</v>
      </c>
      <c r="H73" s="3">
        <v>1110.8599999999999</v>
      </c>
      <c r="I73" s="3">
        <v>1366.6</v>
      </c>
      <c r="J73" s="3">
        <v>348.92</v>
      </c>
      <c r="K73" s="3">
        <v>1828</v>
      </c>
      <c r="L73" s="3">
        <v>993</v>
      </c>
      <c r="M73" s="3">
        <v>1208.08</v>
      </c>
      <c r="N73" s="3">
        <v>1776</v>
      </c>
      <c r="O73" s="52">
        <v>1380.25</v>
      </c>
      <c r="P73" s="3">
        <v>1800</v>
      </c>
      <c r="Q73" s="42">
        <v>1800</v>
      </c>
      <c r="R73" s="42">
        <v>0</v>
      </c>
      <c r="S73" s="3">
        <v>115</v>
      </c>
      <c r="T73" s="3">
        <f>+R73+S73</f>
        <v>115</v>
      </c>
      <c r="U73" s="3">
        <f>+T73-P73</f>
        <v>-1685</v>
      </c>
      <c r="V73" s="3">
        <f>+T73-Q73</f>
        <v>-1685</v>
      </c>
      <c r="W73" s="3">
        <v>1800</v>
      </c>
      <c r="X73" s="3">
        <f>+W73-P73</f>
        <v>0</v>
      </c>
      <c r="Y73" s="10">
        <f>+X73/P73</f>
        <v>0</v>
      </c>
      <c r="Z73" s="4"/>
      <c r="AA73" s="4"/>
      <c r="AB73" s="5"/>
      <c r="AC73" s="5"/>
      <c r="AD73" s="5"/>
      <c r="AE73" s="5"/>
    </row>
    <row r="74" spans="1:31" ht="15.75" customHeight="1" x14ac:dyDescent="0.25">
      <c r="A74" s="1" t="s">
        <v>84</v>
      </c>
      <c r="B74" s="13">
        <f t="shared" ref="B74:X74" si="28">+B73</f>
        <v>1142.25</v>
      </c>
      <c r="C74" s="13">
        <f t="shared" si="28"/>
        <v>1806</v>
      </c>
      <c r="D74" s="13">
        <f t="shared" si="28"/>
        <v>1116.18</v>
      </c>
      <c r="E74" s="13">
        <f t="shared" si="28"/>
        <v>1597.58</v>
      </c>
      <c r="F74" s="13">
        <f t="shared" si="28"/>
        <v>1078.22</v>
      </c>
      <c r="G74" s="13">
        <f t="shared" si="28"/>
        <v>1310.84</v>
      </c>
      <c r="H74" s="13">
        <f t="shared" si="28"/>
        <v>1110.8599999999999</v>
      </c>
      <c r="I74" s="13">
        <f t="shared" si="28"/>
        <v>1366.6</v>
      </c>
      <c r="J74" s="13">
        <f t="shared" si="28"/>
        <v>348.92</v>
      </c>
      <c r="K74" s="13">
        <f t="shared" si="28"/>
        <v>1828</v>
      </c>
      <c r="L74" s="13">
        <f t="shared" si="28"/>
        <v>993</v>
      </c>
      <c r="M74" s="13">
        <f t="shared" si="28"/>
        <v>1208.08</v>
      </c>
      <c r="N74" s="13">
        <f>+N73</f>
        <v>1776</v>
      </c>
      <c r="O74" s="54">
        <f t="shared" si="28"/>
        <v>1380.25</v>
      </c>
      <c r="P74" s="13">
        <f t="shared" si="28"/>
        <v>1800</v>
      </c>
      <c r="Q74" s="44">
        <f>+Q73</f>
        <v>1800</v>
      </c>
      <c r="R74" s="44">
        <f t="shared" si="28"/>
        <v>0</v>
      </c>
      <c r="S74" s="13">
        <f t="shared" si="28"/>
        <v>115</v>
      </c>
      <c r="T74" s="13">
        <f t="shared" si="28"/>
        <v>115</v>
      </c>
      <c r="U74" s="13">
        <f t="shared" si="28"/>
        <v>-1685</v>
      </c>
      <c r="V74" s="13">
        <f t="shared" si="28"/>
        <v>-1685</v>
      </c>
      <c r="W74" s="13">
        <f t="shared" si="28"/>
        <v>1800</v>
      </c>
      <c r="X74" s="13">
        <f t="shared" si="28"/>
        <v>0</v>
      </c>
      <c r="Y74" s="16">
        <f>+X74/P74</f>
        <v>0</v>
      </c>
      <c r="Z74" s="4"/>
      <c r="AA74" s="4"/>
      <c r="AB74" s="5"/>
      <c r="AC74" s="5"/>
      <c r="AD74" s="5"/>
      <c r="AE74" s="5"/>
    </row>
    <row r="75" spans="1:31" ht="15.75" customHeight="1" x14ac:dyDescent="0.25">
      <c r="A75" s="1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54"/>
      <c r="P75" s="13"/>
      <c r="Q75" s="44"/>
      <c r="R75" s="44"/>
      <c r="S75" s="13"/>
      <c r="T75" s="3"/>
      <c r="U75" s="3"/>
      <c r="V75" s="3"/>
      <c r="W75" s="13"/>
      <c r="X75" s="3"/>
      <c r="Y75" s="10"/>
      <c r="Z75" s="4"/>
      <c r="AA75" s="4"/>
      <c r="AB75" s="5"/>
      <c r="AC75" s="5"/>
      <c r="AD75" s="5"/>
      <c r="AE75" s="5"/>
    </row>
    <row r="76" spans="1:31" ht="15.75" customHeight="1" x14ac:dyDescent="0.25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52"/>
      <c r="P76" s="3"/>
      <c r="Q76" s="42"/>
      <c r="R76" s="42"/>
      <c r="S76" s="3"/>
      <c r="T76" s="3"/>
      <c r="U76" s="3"/>
      <c r="V76" s="3"/>
      <c r="W76" s="3"/>
      <c r="X76" s="3"/>
      <c r="Y76" s="10"/>
      <c r="Z76" s="4"/>
      <c r="AA76" s="4"/>
      <c r="AB76" s="5"/>
      <c r="AC76" s="5"/>
      <c r="AD76" s="5"/>
      <c r="AE76" s="5"/>
    </row>
    <row r="77" spans="1:31" ht="15.75" customHeight="1" x14ac:dyDescent="0.25">
      <c r="A77" s="8" t="s">
        <v>85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55"/>
      <c r="P77" s="7"/>
      <c r="Q77" s="45"/>
      <c r="R77" s="45"/>
      <c r="S77" s="7"/>
      <c r="T77" s="3"/>
      <c r="U77" s="3"/>
      <c r="V77" s="3"/>
      <c r="W77" s="7"/>
      <c r="X77" s="3"/>
      <c r="Y77" s="10"/>
      <c r="Z77" s="4"/>
      <c r="AA77" s="4"/>
      <c r="AB77" s="5"/>
      <c r="AC77" s="5"/>
      <c r="AD77" s="5"/>
      <c r="AE77" s="5"/>
    </row>
    <row r="78" spans="1:31" ht="15.75" customHeight="1" x14ac:dyDescent="0.25">
      <c r="A78" s="9" t="s">
        <v>86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55"/>
      <c r="P78" s="7"/>
      <c r="Q78" s="45"/>
      <c r="R78" s="45"/>
      <c r="S78" s="7"/>
      <c r="T78" s="3"/>
      <c r="U78" s="3"/>
      <c r="V78" s="3"/>
      <c r="W78" s="7"/>
      <c r="X78" s="3"/>
      <c r="Y78" s="10"/>
      <c r="Z78" s="4"/>
      <c r="AA78" s="4"/>
      <c r="AB78" s="5"/>
      <c r="AC78" s="5"/>
      <c r="AD78" s="5"/>
      <c r="AE78" s="5"/>
    </row>
    <row r="79" spans="1:31" ht="15.75" customHeight="1" x14ac:dyDescent="0.25">
      <c r="A79" s="17" t="s">
        <v>87</v>
      </c>
      <c r="B79" s="7">
        <v>2650</v>
      </c>
      <c r="C79" s="7">
        <v>2650</v>
      </c>
      <c r="D79" s="7">
        <v>2600</v>
      </c>
      <c r="E79" s="7">
        <v>2650</v>
      </c>
      <c r="F79" s="7">
        <v>2600</v>
      </c>
      <c r="G79" s="7">
        <v>2600</v>
      </c>
      <c r="H79" s="7">
        <v>2650</v>
      </c>
      <c r="I79" s="7">
        <v>2600</v>
      </c>
      <c r="J79" s="7">
        <v>2350</v>
      </c>
      <c r="K79" s="7">
        <v>3150</v>
      </c>
      <c r="L79" s="7">
        <v>2475</v>
      </c>
      <c r="M79" s="7">
        <v>2940</v>
      </c>
      <c r="N79" s="7">
        <v>3214</v>
      </c>
      <c r="O79" s="55">
        <v>3246.41</v>
      </c>
      <c r="P79" s="3">
        <v>3409</v>
      </c>
      <c r="Q79" s="42">
        <v>3409</v>
      </c>
      <c r="R79" s="45">
        <v>2163.65</v>
      </c>
      <c r="S79" s="7">
        <f>131.13*9</f>
        <v>1180.17</v>
      </c>
      <c r="T79" s="3">
        <f t="shared" ref="T79:T92" si="29">+R79+S79</f>
        <v>3343.82</v>
      </c>
      <c r="U79" s="3">
        <f t="shared" ref="U79:U92" si="30">+T79-P79</f>
        <v>-65.179999999999836</v>
      </c>
      <c r="V79" s="3">
        <f t="shared" ref="V79:V92" si="31">+T79-Q79</f>
        <v>-65.179999999999836</v>
      </c>
      <c r="W79" s="3">
        <v>3512</v>
      </c>
      <c r="X79" s="3">
        <f t="shared" ref="X79:X92" si="32">+W79-P79</f>
        <v>103</v>
      </c>
      <c r="Y79" s="10">
        <f t="shared" ref="Y79:Y86" si="33">+X79/P79</f>
        <v>3.0214139043707833E-2</v>
      </c>
      <c r="Z79" s="4"/>
      <c r="AA79" s="4"/>
      <c r="AB79" s="5"/>
      <c r="AC79" s="5"/>
      <c r="AD79" s="5"/>
      <c r="AE79" s="5"/>
    </row>
    <row r="80" spans="1:31" ht="15.75" customHeight="1" x14ac:dyDescent="0.25">
      <c r="A80" s="17" t="s">
        <v>88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>
        <v>2745</v>
      </c>
      <c r="M80" s="7">
        <v>4020</v>
      </c>
      <c r="N80" s="7">
        <v>4017</v>
      </c>
      <c r="O80" s="55">
        <v>4058.07</v>
      </c>
      <c r="P80" s="3">
        <v>4262</v>
      </c>
      <c r="Q80" s="42">
        <v>4262</v>
      </c>
      <c r="R80" s="45">
        <v>2704.52</v>
      </c>
      <c r="S80" s="7">
        <f>163.61*9</f>
        <v>1472.4900000000002</v>
      </c>
      <c r="T80" s="3">
        <f t="shared" si="29"/>
        <v>4177.01</v>
      </c>
      <c r="U80" s="3">
        <f t="shared" si="30"/>
        <v>-84.989999999999782</v>
      </c>
      <c r="V80" s="3">
        <f t="shared" si="31"/>
        <v>-84.989999999999782</v>
      </c>
      <c r="W80" s="3">
        <v>4390</v>
      </c>
      <c r="X80" s="3">
        <f t="shared" si="32"/>
        <v>128</v>
      </c>
      <c r="Y80" s="10">
        <f t="shared" si="33"/>
        <v>3.0032848427968089E-2</v>
      </c>
      <c r="Z80" s="4"/>
      <c r="AA80" s="4"/>
      <c r="AB80" s="5"/>
      <c r="AC80" s="5"/>
      <c r="AD80" s="5"/>
      <c r="AE80" s="5"/>
    </row>
    <row r="81" spans="1:31" ht="15.75" customHeight="1" x14ac:dyDescent="0.25">
      <c r="A81" s="17" t="s">
        <v>89</v>
      </c>
      <c r="B81" s="7">
        <v>23001.22</v>
      </c>
      <c r="C81" s="7">
        <v>26295</v>
      </c>
      <c r="D81" s="7">
        <v>20440.02</v>
      </c>
      <c r="E81" s="7">
        <v>22507.9</v>
      </c>
      <c r="F81" s="7">
        <v>16385.830000000002</v>
      </c>
      <c r="G81" s="7">
        <v>16747.52</v>
      </c>
      <c r="H81" s="7">
        <v>19753.43</v>
      </c>
      <c r="I81" s="7">
        <v>15930.64</v>
      </c>
      <c r="J81" s="7">
        <v>14046.65</v>
      </c>
      <c r="K81" s="7">
        <v>44481.91</v>
      </c>
      <c r="L81" s="7">
        <v>28599.15</v>
      </c>
      <c r="M81" s="7">
        <v>25186.61</v>
      </c>
      <c r="N81" s="7">
        <v>23201</v>
      </c>
      <c r="O81" s="55">
        <v>19177.18</v>
      </c>
      <c r="P81" s="7">
        <v>26000</v>
      </c>
      <c r="Q81" s="45">
        <v>26000</v>
      </c>
      <c r="R81" s="45">
        <v>10833.57</v>
      </c>
      <c r="S81" s="7">
        <v>7600</v>
      </c>
      <c r="T81" s="3">
        <f t="shared" si="29"/>
        <v>18433.57</v>
      </c>
      <c r="U81" s="3">
        <f t="shared" si="30"/>
        <v>-7566.43</v>
      </c>
      <c r="V81" s="3">
        <f t="shared" si="31"/>
        <v>-7566.43</v>
      </c>
      <c r="W81" s="7">
        <v>24000</v>
      </c>
      <c r="X81" s="3">
        <f t="shared" si="32"/>
        <v>-2000</v>
      </c>
      <c r="Y81" s="10">
        <f t="shared" si="33"/>
        <v>-7.6923076923076927E-2</v>
      </c>
      <c r="Z81" s="4" t="s">
        <v>90</v>
      </c>
      <c r="AA81" s="4"/>
      <c r="AB81" s="5"/>
      <c r="AC81" s="5"/>
      <c r="AD81" s="5"/>
      <c r="AE81" s="5"/>
    </row>
    <row r="82" spans="1:31" ht="15.75" customHeight="1" x14ac:dyDescent="0.25">
      <c r="A82" s="17" t="s">
        <v>91</v>
      </c>
      <c r="B82" s="7"/>
      <c r="C82" s="7"/>
      <c r="D82" s="7"/>
      <c r="E82" s="7"/>
      <c r="F82" s="7"/>
      <c r="G82" s="7"/>
      <c r="H82" s="7"/>
      <c r="I82" s="7">
        <v>6534.11</v>
      </c>
      <c r="J82" s="7">
        <v>4773.9799999999996</v>
      </c>
      <c r="K82" s="7">
        <v>2751.99</v>
      </c>
      <c r="L82" s="7">
        <v>3459.93</v>
      </c>
      <c r="M82" s="7">
        <v>1060.8800000000001</v>
      </c>
      <c r="N82" s="7">
        <v>184</v>
      </c>
      <c r="O82" s="55">
        <v>1143.58</v>
      </c>
      <c r="P82" s="7">
        <v>1000</v>
      </c>
      <c r="Q82" s="45">
        <v>1000</v>
      </c>
      <c r="R82" s="45">
        <v>73.88</v>
      </c>
      <c r="S82" s="7">
        <v>0</v>
      </c>
      <c r="T82" s="3">
        <f t="shared" si="29"/>
        <v>73.88</v>
      </c>
      <c r="U82" s="3">
        <f t="shared" si="30"/>
        <v>-926.12</v>
      </c>
      <c r="V82" s="3">
        <f t="shared" si="31"/>
        <v>-926.12</v>
      </c>
      <c r="W82" s="7">
        <v>1000</v>
      </c>
      <c r="X82" s="3">
        <f t="shared" si="32"/>
        <v>0</v>
      </c>
      <c r="Y82" s="10">
        <f t="shared" si="33"/>
        <v>0</v>
      </c>
      <c r="Z82" s="4"/>
      <c r="AA82" s="4"/>
      <c r="AB82" s="5"/>
      <c r="AC82" s="5"/>
      <c r="AD82" s="5"/>
      <c r="AE82" s="5"/>
    </row>
    <row r="83" spans="1:31" ht="15.75" customHeight="1" x14ac:dyDescent="0.25">
      <c r="A83" s="17" t="s">
        <v>92</v>
      </c>
      <c r="B83" s="7"/>
      <c r="C83" s="7"/>
      <c r="D83" s="7"/>
      <c r="E83" s="7"/>
      <c r="F83" s="7"/>
      <c r="G83" s="7"/>
      <c r="H83" s="7"/>
      <c r="I83" s="7"/>
      <c r="J83" s="7"/>
      <c r="K83" s="7">
        <v>1539.71</v>
      </c>
      <c r="L83" s="7">
        <v>780</v>
      </c>
      <c r="M83" s="7">
        <v>4561.63</v>
      </c>
      <c r="N83" s="7">
        <v>580</v>
      </c>
      <c r="O83" s="55">
        <v>0</v>
      </c>
      <c r="P83" s="7">
        <v>2000</v>
      </c>
      <c r="Q83" s="45">
        <v>2000</v>
      </c>
      <c r="R83" s="45">
        <v>897</v>
      </c>
      <c r="S83" s="7">
        <v>0</v>
      </c>
      <c r="T83" s="3">
        <f t="shared" si="29"/>
        <v>897</v>
      </c>
      <c r="U83" s="3">
        <f t="shared" si="30"/>
        <v>-1103</v>
      </c>
      <c r="V83" s="3">
        <f t="shared" si="31"/>
        <v>-1103</v>
      </c>
      <c r="W83" s="7">
        <v>2000</v>
      </c>
      <c r="X83" s="3">
        <f t="shared" si="32"/>
        <v>0</v>
      </c>
      <c r="Y83" s="10">
        <f t="shared" si="33"/>
        <v>0</v>
      </c>
      <c r="Z83" s="4"/>
      <c r="AA83" s="4"/>
      <c r="AB83" s="5"/>
      <c r="AC83" s="5"/>
      <c r="AD83" s="5"/>
      <c r="AE83" s="5"/>
    </row>
    <row r="84" spans="1:31" ht="15.75" customHeight="1" x14ac:dyDescent="0.25">
      <c r="A84" s="17" t="s">
        <v>452</v>
      </c>
      <c r="B84" s="7"/>
      <c r="C84" s="7"/>
      <c r="D84" s="7"/>
      <c r="E84" s="7"/>
      <c r="F84" s="7"/>
      <c r="G84" s="7"/>
      <c r="H84" s="7"/>
      <c r="I84" s="7"/>
      <c r="J84" s="7"/>
      <c r="K84" s="7">
        <v>4572</v>
      </c>
      <c r="L84" s="7">
        <v>3552</v>
      </c>
      <c r="M84" s="7">
        <v>4678</v>
      </c>
      <c r="N84" s="7">
        <v>3168</v>
      </c>
      <c r="O84" s="55">
        <v>3887</v>
      </c>
      <c r="P84" s="7">
        <v>3600</v>
      </c>
      <c r="Q84" s="45">
        <v>3600</v>
      </c>
      <c r="R84" s="45">
        <v>0</v>
      </c>
      <c r="S84" s="7">
        <v>3252</v>
      </c>
      <c r="T84" s="3">
        <f t="shared" si="29"/>
        <v>3252</v>
      </c>
      <c r="U84" s="3">
        <f t="shared" si="30"/>
        <v>-348</v>
      </c>
      <c r="V84" s="3">
        <f t="shared" si="31"/>
        <v>-348</v>
      </c>
      <c r="W84" s="7">
        <v>3600</v>
      </c>
      <c r="X84" s="3">
        <f t="shared" si="32"/>
        <v>0</v>
      </c>
      <c r="Y84" s="10">
        <f t="shared" si="33"/>
        <v>0</v>
      </c>
      <c r="Z84" s="4"/>
      <c r="AA84" s="4"/>
      <c r="AB84" s="5"/>
      <c r="AC84" s="5"/>
      <c r="AD84" s="5"/>
      <c r="AE84" s="5"/>
    </row>
    <row r="85" spans="1:31" ht="15.75" customHeight="1" x14ac:dyDescent="0.25">
      <c r="A85" s="17" t="s">
        <v>93</v>
      </c>
      <c r="B85" s="7">
        <v>18390.8</v>
      </c>
      <c r="C85" s="7">
        <v>16734</v>
      </c>
      <c r="D85" s="7">
        <v>13191.28</v>
      </c>
      <c r="E85" s="7">
        <v>12923.97</v>
      </c>
      <c r="F85" s="7">
        <v>8987.4599999999991</v>
      </c>
      <c r="G85" s="7">
        <v>8161.72</v>
      </c>
      <c r="H85" s="7">
        <v>19939.03</v>
      </c>
      <c r="I85" s="7">
        <v>3719.68</v>
      </c>
      <c r="J85" s="7">
        <v>3650.43</v>
      </c>
      <c r="K85" s="7">
        <v>3138.4</v>
      </c>
      <c r="L85" s="7">
        <v>5049.34</v>
      </c>
      <c r="M85" s="7">
        <v>6628.41</v>
      </c>
      <c r="N85" s="7">
        <v>6475</v>
      </c>
      <c r="O85" s="55">
        <v>5839.09</v>
      </c>
      <c r="P85" s="7">
        <v>6700</v>
      </c>
      <c r="Q85" s="45">
        <v>6700</v>
      </c>
      <c r="R85" s="45">
        <v>3581.35</v>
      </c>
      <c r="S85" s="7">
        <f>400*4</f>
        <v>1600</v>
      </c>
      <c r="T85" s="3">
        <f t="shared" si="29"/>
        <v>5181.3500000000004</v>
      </c>
      <c r="U85" s="3">
        <f t="shared" si="30"/>
        <v>-1518.6499999999996</v>
      </c>
      <c r="V85" s="3">
        <f t="shared" si="31"/>
        <v>-1518.6499999999996</v>
      </c>
      <c r="W85" s="7">
        <v>6700</v>
      </c>
      <c r="X85" s="3">
        <f t="shared" si="32"/>
        <v>0</v>
      </c>
      <c r="Y85" s="10">
        <f t="shared" si="33"/>
        <v>0</v>
      </c>
      <c r="Z85" s="4" t="s">
        <v>94</v>
      </c>
      <c r="AA85" s="4"/>
      <c r="AB85" s="5"/>
      <c r="AC85" s="5"/>
      <c r="AD85" s="5"/>
      <c r="AE85" s="5"/>
    </row>
    <row r="86" spans="1:31" ht="15.75" customHeight="1" x14ac:dyDescent="0.25">
      <c r="A86" s="17" t="s">
        <v>95</v>
      </c>
      <c r="B86" s="7">
        <v>15483.76</v>
      </c>
      <c r="C86" s="7">
        <v>17281</v>
      </c>
      <c r="D86" s="7">
        <v>21224.12</v>
      </c>
      <c r="E86" s="7">
        <v>16919.759999999998</v>
      </c>
      <c r="F86" s="7">
        <v>6908.82</v>
      </c>
      <c r="G86" s="7">
        <v>9896.4699999999993</v>
      </c>
      <c r="H86" s="7">
        <v>14814.38</v>
      </c>
      <c r="I86" s="7">
        <v>16096.36</v>
      </c>
      <c r="J86" s="7">
        <v>9738.44</v>
      </c>
      <c r="K86" s="7">
        <v>10311.51</v>
      </c>
      <c r="L86" s="7">
        <v>15428.05</v>
      </c>
      <c r="M86" s="7">
        <v>9282.6299999999992</v>
      </c>
      <c r="N86" s="7">
        <v>14086</v>
      </c>
      <c r="O86" s="55">
        <v>13665.08</v>
      </c>
      <c r="P86" s="7">
        <v>16000</v>
      </c>
      <c r="Q86" s="45">
        <v>16000</v>
      </c>
      <c r="R86" s="45">
        <v>11265.9</v>
      </c>
      <c r="S86" s="7">
        <f>1300*4</f>
        <v>5200</v>
      </c>
      <c r="T86" s="3">
        <f t="shared" si="29"/>
        <v>16465.900000000001</v>
      </c>
      <c r="U86" s="3">
        <f t="shared" si="30"/>
        <v>465.90000000000146</v>
      </c>
      <c r="V86" s="3">
        <f t="shared" si="31"/>
        <v>465.90000000000146</v>
      </c>
      <c r="W86" s="7">
        <v>16000</v>
      </c>
      <c r="X86" s="3">
        <f t="shared" si="32"/>
        <v>0</v>
      </c>
      <c r="Y86" s="10">
        <f t="shared" si="33"/>
        <v>0</v>
      </c>
      <c r="Z86" s="4" t="s">
        <v>94</v>
      </c>
      <c r="AA86" s="4"/>
      <c r="AB86" s="5"/>
      <c r="AC86" s="5"/>
      <c r="AD86" s="5"/>
      <c r="AE86" s="5"/>
    </row>
    <row r="87" spans="1:31" ht="15.75" hidden="1" customHeight="1" x14ac:dyDescent="0.25">
      <c r="A87" s="5" t="s">
        <v>96</v>
      </c>
      <c r="B87" s="3"/>
      <c r="C87" s="3"/>
      <c r="D87" s="3"/>
      <c r="E87" s="3"/>
      <c r="F87" s="3">
        <v>289.98</v>
      </c>
      <c r="G87" s="3">
        <v>970.95</v>
      </c>
      <c r="H87" s="3"/>
      <c r="I87" s="3">
        <v>526.79999999999995</v>
      </c>
      <c r="J87" s="3"/>
      <c r="K87" s="3">
        <v>4724</v>
      </c>
      <c r="L87" s="3"/>
      <c r="M87" s="3"/>
      <c r="N87" s="3"/>
      <c r="O87" s="52"/>
      <c r="P87" s="3"/>
      <c r="Q87" s="42"/>
      <c r="R87" s="42"/>
      <c r="S87" s="3"/>
      <c r="T87" s="3">
        <f t="shared" si="29"/>
        <v>0</v>
      </c>
      <c r="U87" s="3">
        <f t="shared" si="30"/>
        <v>0</v>
      </c>
      <c r="V87" s="3">
        <f t="shared" si="31"/>
        <v>0</v>
      </c>
      <c r="W87" s="3"/>
      <c r="X87" s="3">
        <f t="shared" si="32"/>
        <v>0</v>
      </c>
      <c r="Y87" s="10"/>
      <c r="Z87" s="4"/>
      <c r="AA87" s="4"/>
      <c r="AB87" s="5"/>
      <c r="AC87" s="5"/>
      <c r="AD87" s="5"/>
      <c r="AE87" s="5"/>
    </row>
    <row r="88" spans="1:31" ht="15.75" hidden="1" customHeight="1" x14ac:dyDescent="0.25">
      <c r="A88" s="5" t="s">
        <v>97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52"/>
      <c r="P88" s="3"/>
      <c r="Q88" s="42"/>
      <c r="R88" s="42"/>
      <c r="S88" s="3"/>
      <c r="T88" s="3">
        <f t="shared" si="29"/>
        <v>0</v>
      </c>
      <c r="U88" s="3">
        <f t="shared" si="30"/>
        <v>0</v>
      </c>
      <c r="V88" s="3">
        <f t="shared" si="31"/>
        <v>0</v>
      </c>
      <c r="W88" s="3"/>
      <c r="X88" s="3">
        <f t="shared" si="32"/>
        <v>0</v>
      </c>
      <c r="Y88" s="10"/>
      <c r="Z88" s="4"/>
      <c r="AA88" s="4"/>
      <c r="AB88" s="5"/>
      <c r="AC88" s="5"/>
      <c r="AD88" s="5"/>
      <c r="AE88" s="5"/>
    </row>
    <row r="89" spans="1:31" ht="15.75" customHeight="1" x14ac:dyDescent="0.25">
      <c r="A89" s="5" t="s">
        <v>98</v>
      </c>
      <c r="B89" s="3">
        <v>11712.36</v>
      </c>
      <c r="C89" s="3">
        <v>12055</v>
      </c>
      <c r="D89" s="3">
        <v>12799.51</v>
      </c>
      <c r="E89" s="3">
        <v>11733.16</v>
      </c>
      <c r="F89" s="3">
        <v>14974.9</v>
      </c>
      <c r="G89" s="3">
        <v>15678.08</v>
      </c>
      <c r="H89" s="3">
        <v>20238.77</v>
      </c>
      <c r="I89" s="3">
        <v>17203.89</v>
      </c>
      <c r="J89" s="3">
        <v>18299.400000000001</v>
      </c>
      <c r="K89" s="3">
        <v>18527.509999999998</v>
      </c>
      <c r="L89" s="3">
        <v>20822.34</v>
      </c>
      <c r="M89" s="3">
        <v>23805.19</v>
      </c>
      <c r="N89" s="3">
        <v>19507</v>
      </c>
      <c r="O89" s="52">
        <v>26471.31</v>
      </c>
      <c r="P89" s="3">
        <v>24000</v>
      </c>
      <c r="Q89" s="42">
        <v>24000</v>
      </c>
      <c r="R89" s="42">
        <v>15426.86</v>
      </c>
      <c r="S89" s="3">
        <f>8900-327</f>
        <v>8573</v>
      </c>
      <c r="T89" s="3">
        <f t="shared" si="29"/>
        <v>23999.86</v>
      </c>
      <c r="U89" s="3">
        <f t="shared" si="30"/>
        <v>-0.13999999999941792</v>
      </c>
      <c r="V89" s="3">
        <f t="shared" si="31"/>
        <v>-0.13999999999941792</v>
      </c>
      <c r="W89" s="3">
        <v>25000</v>
      </c>
      <c r="X89" s="3">
        <f t="shared" si="32"/>
        <v>1000</v>
      </c>
      <c r="Y89" s="10">
        <f>+X89/P89</f>
        <v>4.1666666666666664E-2</v>
      </c>
      <c r="Z89" s="57" t="s">
        <v>418</v>
      </c>
      <c r="AA89" s="4"/>
      <c r="AB89" s="5"/>
      <c r="AC89" s="5"/>
      <c r="AD89" s="5"/>
      <c r="AE89" s="5"/>
    </row>
    <row r="90" spans="1:31" ht="15.75" customHeight="1" x14ac:dyDescent="0.25">
      <c r="A90" s="5" t="s">
        <v>99</v>
      </c>
      <c r="B90" s="3"/>
      <c r="C90" s="3">
        <v>2750</v>
      </c>
      <c r="D90" s="3">
        <v>750</v>
      </c>
      <c r="E90" s="3">
        <v>750</v>
      </c>
      <c r="F90" s="3">
        <v>750</v>
      </c>
      <c r="G90" s="3">
        <v>750</v>
      </c>
      <c r="H90" s="3">
        <v>1825</v>
      </c>
      <c r="I90" s="3">
        <v>1825</v>
      </c>
      <c r="J90" s="3">
        <v>1825</v>
      </c>
      <c r="K90" s="3">
        <v>1825</v>
      </c>
      <c r="L90" s="3">
        <v>1971</v>
      </c>
      <c r="M90" s="3">
        <v>2140.5100000000002</v>
      </c>
      <c r="N90" s="3">
        <v>2322</v>
      </c>
      <c r="O90" s="52">
        <v>2585.02</v>
      </c>
      <c r="P90" s="3">
        <v>2900</v>
      </c>
      <c r="Q90" s="42">
        <v>2900</v>
      </c>
      <c r="R90" s="42">
        <v>0</v>
      </c>
      <c r="S90" s="3">
        <v>0</v>
      </c>
      <c r="T90" s="3">
        <v>2658.97</v>
      </c>
      <c r="U90" s="3">
        <f t="shared" si="30"/>
        <v>-241.0300000000002</v>
      </c>
      <c r="V90" s="3">
        <f t="shared" si="31"/>
        <v>-241.0300000000002</v>
      </c>
      <c r="W90" s="3">
        <v>2900</v>
      </c>
      <c r="X90" s="3">
        <f t="shared" si="32"/>
        <v>0</v>
      </c>
      <c r="Y90" s="10">
        <f>+X90/P90</f>
        <v>0</v>
      </c>
      <c r="Z90" s="4"/>
      <c r="AA90" s="4"/>
      <c r="AB90" s="5"/>
      <c r="AC90" s="5"/>
      <c r="AD90" s="5"/>
      <c r="AE90" s="5"/>
    </row>
    <row r="91" spans="1:31" ht="15.75" customHeight="1" x14ac:dyDescent="0.25">
      <c r="A91" s="34" t="s">
        <v>420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>
        <v>4814.16</v>
      </c>
      <c r="N91" s="3">
        <v>10309</v>
      </c>
      <c r="O91" s="52">
        <v>11846.82</v>
      </c>
      <c r="P91" s="3">
        <v>7100</v>
      </c>
      <c r="Q91" s="42">
        <v>7100</v>
      </c>
      <c r="R91" s="42">
        <v>6324.75</v>
      </c>
      <c r="S91" s="3">
        <f>250*9</f>
        <v>2250</v>
      </c>
      <c r="T91" s="3">
        <f t="shared" si="29"/>
        <v>8574.75</v>
      </c>
      <c r="U91" s="3">
        <f t="shared" si="30"/>
        <v>1474.75</v>
      </c>
      <c r="V91" s="3">
        <f t="shared" si="31"/>
        <v>1474.75</v>
      </c>
      <c r="W91" s="3">
        <v>8600</v>
      </c>
      <c r="X91" s="3">
        <f t="shared" si="32"/>
        <v>1500</v>
      </c>
      <c r="Y91" s="10">
        <f>+X91/P91</f>
        <v>0.21126760563380281</v>
      </c>
      <c r="Z91" s="57" t="s">
        <v>419</v>
      </c>
      <c r="AA91" s="4"/>
      <c r="AB91" s="5"/>
      <c r="AC91" s="5"/>
      <c r="AD91" s="5"/>
      <c r="AE91" s="5"/>
    </row>
    <row r="92" spans="1:31" ht="15.75" customHeight="1" x14ac:dyDescent="0.25">
      <c r="A92" s="5" t="s">
        <v>100</v>
      </c>
      <c r="B92" s="3">
        <v>4402.25</v>
      </c>
      <c r="C92" s="3">
        <v>5008</v>
      </c>
      <c r="D92" s="3">
        <v>3500.04</v>
      </c>
      <c r="E92" s="3">
        <v>3208.37</v>
      </c>
      <c r="F92" s="3">
        <v>4291.71</v>
      </c>
      <c r="G92" s="3">
        <v>3991.57</v>
      </c>
      <c r="H92" s="3">
        <v>3500.04</v>
      </c>
      <c r="I92" s="3">
        <v>3221.25</v>
      </c>
      <c r="J92" s="3">
        <v>2209.35</v>
      </c>
      <c r="K92" s="3">
        <v>3615.65</v>
      </c>
      <c r="L92" s="3">
        <v>10360.780000000001</v>
      </c>
      <c r="M92" s="3">
        <v>9228.1299999999992</v>
      </c>
      <c r="N92" s="3">
        <v>10420</v>
      </c>
      <c r="O92" s="52">
        <v>12332.88</v>
      </c>
      <c r="P92" s="3">
        <v>12000</v>
      </c>
      <c r="Q92" s="42">
        <v>12000</v>
      </c>
      <c r="R92" s="42">
        <v>5665.64</v>
      </c>
      <c r="S92" s="58">
        <f>891+700+700+700+700</f>
        <v>3691</v>
      </c>
      <c r="T92" s="3">
        <f t="shared" si="29"/>
        <v>9356.64</v>
      </c>
      <c r="U92" s="3">
        <f t="shared" si="30"/>
        <v>-2643.3600000000006</v>
      </c>
      <c r="V92" s="3">
        <f t="shared" si="31"/>
        <v>-2643.3600000000006</v>
      </c>
      <c r="W92" s="3">
        <v>12000</v>
      </c>
      <c r="X92" s="3">
        <f t="shared" si="32"/>
        <v>0</v>
      </c>
      <c r="Y92" s="10">
        <f>+X92/P92</f>
        <v>0</v>
      </c>
      <c r="Z92" s="57"/>
      <c r="AA92" s="4"/>
      <c r="AB92" s="5"/>
      <c r="AC92" s="5"/>
      <c r="AD92" s="5"/>
      <c r="AE92" s="5"/>
    </row>
    <row r="93" spans="1:31" ht="15.75" customHeight="1" x14ac:dyDescent="0.25">
      <c r="A93" s="1" t="s">
        <v>101</v>
      </c>
      <c r="B93" s="13">
        <f t="shared" ref="B93:X93" si="34">SUM(B79:B92)</f>
        <v>75640.390000000014</v>
      </c>
      <c r="C93" s="13">
        <f t="shared" si="34"/>
        <v>82773</v>
      </c>
      <c r="D93" s="13">
        <f t="shared" si="34"/>
        <v>74504.969999999987</v>
      </c>
      <c r="E93" s="13">
        <f t="shared" si="34"/>
        <v>70693.16</v>
      </c>
      <c r="F93" s="13">
        <f t="shared" si="34"/>
        <v>55188.700000000004</v>
      </c>
      <c r="G93" s="13">
        <f t="shared" si="34"/>
        <v>58796.31</v>
      </c>
      <c r="H93" s="13">
        <f t="shared" si="34"/>
        <v>82720.649999999994</v>
      </c>
      <c r="I93" s="13">
        <f t="shared" si="34"/>
        <v>67657.73000000001</v>
      </c>
      <c r="J93" s="13">
        <f t="shared" si="34"/>
        <v>56893.25</v>
      </c>
      <c r="K93" s="13">
        <f t="shared" si="34"/>
        <v>98637.68</v>
      </c>
      <c r="L93" s="13">
        <f t="shared" si="34"/>
        <v>95242.59</v>
      </c>
      <c r="M93" s="13">
        <f t="shared" si="34"/>
        <v>98346.15</v>
      </c>
      <c r="N93" s="13">
        <f t="shared" si="34"/>
        <v>97483</v>
      </c>
      <c r="O93" s="54">
        <f>SUM(O79:O92)</f>
        <v>104252.44</v>
      </c>
      <c r="P93" s="13">
        <f t="shared" si="34"/>
        <v>108971</v>
      </c>
      <c r="Q93" s="44">
        <f>SUM(Q79:Q92)</f>
        <v>108971</v>
      </c>
      <c r="R93" s="44">
        <f t="shared" si="34"/>
        <v>58937.119999999995</v>
      </c>
      <c r="S93" s="13">
        <f t="shared" si="34"/>
        <v>34818.660000000003</v>
      </c>
      <c r="T93" s="13">
        <f t="shared" si="34"/>
        <v>96414.750000000015</v>
      </c>
      <c r="U93" s="13">
        <f t="shared" si="34"/>
        <v>-12556.25</v>
      </c>
      <c r="V93" s="13">
        <f t="shared" si="34"/>
        <v>-12556.25</v>
      </c>
      <c r="W93" s="13">
        <f t="shared" si="34"/>
        <v>109702</v>
      </c>
      <c r="X93" s="13">
        <f t="shared" si="34"/>
        <v>731</v>
      </c>
      <c r="Y93" s="16">
        <f>+X93/P93</f>
        <v>6.7082067706086945E-3</v>
      </c>
      <c r="Z93" s="19"/>
      <c r="AA93" s="4"/>
      <c r="AB93" s="5"/>
      <c r="AC93" s="5"/>
      <c r="AD93" s="5"/>
      <c r="AE93" s="5"/>
    </row>
    <row r="94" spans="1:31" ht="15.75" customHeight="1" x14ac:dyDescent="0.25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52"/>
      <c r="P94" s="3"/>
      <c r="Q94" s="42"/>
      <c r="R94" s="42"/>
      <c r="S94" s="3"/>
      <c r="T94" s="20"/>
      <c r="U94" s="3"/>
      <c r="V94" s="3"/>
      <c r="W94" s="3"/>
      <c r="X94" s="3"/>
      <c r="Y94" s="10"/>
      <c r="Z94" s="4"/>
      <c r="AA94" s="4"/>
      <c r="AB94" s="5"/>
      <c r="AC94" s="5"/>
      <c r="AD94" s="5"/>
      <c r="AE94" s="5"/>
    </row>
    <row r="95" spans="1:31" ht="15.75" customHeight="1" x14ac:dyDescent="0.25">
      <c r="A95" s="8" t="s">
        <v>102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52"/>
      <c r="P95" s="62"/>
      <c r="Q95" s="46"/>
      <c r="R95" s="42"/>
      <c r="S95" s="3"/>
      <c r="T95" s="3"/>
      <c r="U95" s="3"/>
      <c r="V95" s="3"/>
      <c r="W95" s="3"/>
      <c r="X95" s="3"/>
      <c r="Y95" s="10"/>
      <c r="Z95" s="4"/>
      <c r="AA95" s="4"/>
      <c r="AB95" s="5"/>
      <c r="AC95" s="5"/>
      <c r="AD95" s="5"/>
      <c r="AE95" s="5"/>
    </row>
    <row r="96" spans="1:31" ht="15.75" customHeight="1" x14ac:dyDescent="0.25">
      <c r="A96" s="5" t="s">
        <v>103</v>
      </c>
      <c r="B96" s="3">
        <v>47974</v>
      </c>
      <c r="C96" s="3">
        <v>50166</v>
      </c>
      <c r="D96" s="3">
        <v>55659.66</v>
      </c>
      <c r="E96" s="3">
        <v>50418.09</v>
      </c>
      <c r="F96" s="3">
        <v>48007.65</v>
      </c>
      <c r="G96" s="3">
        <v>49106.97</v>
      </c>
      <c r="H96" s="3">
        <v>53787.47</v>
      </c>
      <c r="I96" s="3">
        <v>55924.07</v>
      </c>
      <c r="J96" s="3">
        <v>77485</v>
      </c>
      <c r="K96" s="3">
        <v>62274.34</v>
      </c>
      <c r="L96" s="3">
        <v>64491.76</v>
      </c>
      <c r="M96" s="3">
        <v>69719.539999999994</v>
      </c>
      <c r="N96" s="3">
        <v>70579</v>
      </c>
      <c r="O96" s="52">
        <v>91719.75</v>
      </c>
      <c r="P96" s="3">
        <v>113720</v>
      </c>
      <c r="Q96" s="61">
        <v>113720</v>
      </c>
      <c r="R96" s="42">
        <f>120641-30000</f>
        <v>90641</v>
      </c>
      <c r="S96" s="3">
        <v>0</v>
      </c>
      <c r="T96" s="3">
        <f t="shared" ref="T96" si="35">+R96+S96</f>
        <v>90641</v>
      </c>
      <c r="U96" s="3">
        <f t="shared" ref="U96:U102" si="36">+T96-P96</f>
        <v>-23079</v>
      </c>
      <c r="V96" s="3">
        <f t="shared" ref="V96:V102" si="37">+T96-Q96</f>
        <v>-23079</v>
      </c>
      <c r="W96" s="3">
        <f>135000-36000</f>
        <v>99000</v>
      </c>
      <c r="X96" s="3">
        <f t="shared" ref="X96:X102" si="38">+W96-P96</f>
        <v>-14720</v>
      </c>
      <c r="Y96" s="10">
        <f>+X96/P96</f>
        <v>-0.12944073162152656</v>
      </c>
      <c r="Z96" s="57" t="s">
        <v>421</v>
      </c>
      <c r="AA96" s="4"/>
      <c r="AB96" s="5"/>
      <c r="AC96" s="5"/>
      <c r="AD96" s="5"/>
      <c r="AE96" s="5"/>
    </row>
    <row r="97" spans="1:31" ht="15.75" customHeight="1" x14ac:dyDescent="0.25">
      <c r="A97" s="5" t="s">
        <v>104</v>
      </c>
      <c r="B97" s="3">
        <v>1954</v>
      </c>
      <c r="C97" s="3">
        <v>1858</v>
      </c>
      <c r="D97" s="3">
        <v>1858</v>
      </c>
      <c r="E97" s="3">
        <v>1823</v>
      </c>
      <c r="F97" s="3">
        <v>1823</v>
      </c>
      <c r="G97" s="3">
        <v>1823</v>
      </c>
      <c r="H97" s="3">
        <v>1823</v>
      </c>
      <c r="I97" s="3">
        <v>1823</v>
      </c>
      <c r="J97" s="3">
        <v>1823</v>
      </c>
      <c r="K97" s="3">
        <v>1823</v>
      </c>
      <c r="L97" s="3">
        <v>1823</v>
      </c>
      <c r="M97" s="3">
        <v>1923</v>
      </c>
      <c r="N97" s="3">
        <v>1842</v>
      </c>
      <c r="O97" s="52">
        <v>1742</v>
      </c>
      <c r="P97" s="3">
        <v>1842</v>
      </c>
      <c r="Q97" s="42">
        <v>1842</v>
      </c>
      <c r="R97" s="42">
        <v>1892</v>
      </c>
      <c r="S97" s="4">
        <v>0</v>
      </c>
      <c r="T97" s="3">
        <f t="shared" ref="T97:T102" si="39">+R97+S97</f>
        <v>1892</v>
      </c>
      <c r="U97" s="3">
        <f t="shared" si="36"/>
        <v>50</v>
      </c>
      <c r="V97" s="3">
        <f t="shared" si="37"/>
        <v>50</v>
      </c>
      <c r="W97" s="3">
        <v>1892</v>
      </c>
      <c r="X97" s="3">
        <f t="shared" si="38"/>
        <v>50</v>
      </c>
      <c r="Y97" s="10">
        <f>+X97/P97</f>
        <v>2.714440825190011E-2</v>
      </c>
      <c r="Z97" s="4" t="s">
        <v>60</v>
      </c>
      <c r="AA97" s="4"/>
      <c r="AB97" s="5"/>
      <c r="AC97" s="5"/>
      <c r="AD97" s="5"/>
      <c r="AE97" s="5"/>
    </row>
    <row r="98" spans="1:31" ht="15.75" customHeight="1" x14ac:dyDescent="0.25">
      <c r="A98" s="5" t="s">
        <v>105</v>
      </c>
      <c r="B98" s="3">
        <v>2000</v>
      </c>
      <c r="C98" s="3">
        <v>5000</v>
      </c>
      <c r="D98" s="3">
        <v>795</v>
      </c>
      <c r="E98" s="3">
        <v>248.97</v>
      </c>
      <c r="F98" s="3">
        <v>508.37</v>
      </c>
      <c r="G98" s="3"/>
      <c r="H98" s="3"/>
      <c r="I98" s="3"/>
      <c r="J98" s="3"/>
      <c r="K98" s="3">
        <v>220.38</v>
      </c>
      <c r="L98" s="3"/>
      <c r="M98" s="3"/>
      <c r="N98" s="3">
        <v>0</v>
      </c>
      <c r="O98" s="52">
        <v>97</v>
      </c>
      <c r="P98" s="3">
        <v>0</v>
      </c>
      <c r="Q98" s="42">
        <v>0</v>
      </c>
      <c r="R98" s="42">
        <v>10592.91</v>
      </c>
      <c r="S98" s="3">
        <v>0</v>
      </c>
      <c r="T98" s="3">
        <f t="shared" si="39"/>
        <v>10592.91</v>
      </c>
      <c r="U98" s="3">
        <f t="shared" si="36"/>
        <v>10592.91</v>
      </c>
      <c r="V98" s="3">
        <f t="shared" si="37"/>
        <v>10592.91</v>
      </c>
      <c r="W98" s="3">
        <v>0</v>
      </c>
      <c r="X98" s="3">
        <f t="shared" si="38"/>
        <v>0</v>
      </c>
      <c r="Y98" s="10"/>
      <c r="Z98" s="57" t="s">
        <v>422</v>
      </c>
      <c r="AA98" s="4"/>
      <c r="AB98" s="5"/>
      <c r="AC98" s="5"/>
      <c r="AD98" s="5"/>
      <c r="AE98" s="5"/>
    </row>
    <row r="99" spans="1:31" ht="15.75" hidden="1" customHeight="1" x14ac:dyDescent="0.25">
      <c r="A99" s="5" t="s">
        <v>106</v>
      </c>
      <c r="B99" s="3"/>
      <c r="C99" s="3"/>
      <c r="D99" s="3"/>
      <c r="E99" s="3"/>
      <c r="F99" s="3">
        <v>100</v>
      </c>
      <c r="G99" s="3"/>
      <c r="H99" s="3"/>
      <c r="I99" s="3"/>
      <c r="J99" s="3"/>
      <c r="K99" s="3"/>
      <c r="L99" s="3"/>
      <c r="M99" s="3"/>
      <c r="N99" s="3"/>
      <c r="O99" s="52"/>
      <c r="P99" s="3"/>
      <c r="Q99" s="42"/>
      <c r="R99" s="42"/>
      <c r="S99" s="3"/>
      <c r="T99" s="3">
        <f t="shared" si="39"/>
        <v>0</v>
      </c>
      <c r="U99" s="3">
        <f t="shared" si="36"/>
        <v>0</v>
      </c>
      <c r="V99" s="3">
        <f t="shared" si="37"/>
        <v>0</v>
      </c>
      <c r="W99" s="3"/>
      <c r="X99" s="3">
        <f t="shared" si="38"/>
        <v>0</v>
      </c>
      <c r="Y99" s="10"/>
      <c r="Z99" s="4"/>
      <c r="AA99" s="4"/>
      <c r="AB99" s="5"/>
      <c r="AC99" s="5"/>
      <c r="AD99" s="5"/>
      <c r="AE99" s="5"/>
    </row>
    <row r="100" spans="1:31" ht="15.75" customHeight="1" x14ac:dyDescent="0.25">
      <c r="A100" s="34" t="s">
        <v>411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52"/>
      <c r="P100" s="3"/>
      <c r="Q100" s="42">
        <v>0</v>
      </c>
      <c r="R100" s="42">
        <f>2272.24+992.96-801.6</f>
        <v>2463.6</v>
      </c>
      <c r="S100" s="3">
        <v>0</v>
      </c>
      <c r="T100" s="3">
        <f t="shared" ref="T100" si="40">+R100+S100</f>
        <v>2463.6</v>
      </c>
      <c r="U100" s="3">
        <f t="shared" si="36"/>
        <v>2463.6</v>
      </c>
      <c r="V100" s="3">
        <f t="shared" si="37"/>
        <v>2463.6</v>
      </c>
      <c r="W100" s="3">
        <v>0</v>
      </c>
      <c r="X100" s="3">
        <f t="shared" si="38"/>
        <v>0</v>
      </c>
      <c r="Y100" s="10"/>
      <c r="Z100" s="4"/>
      <c r="AA100" s="4"/>
      <c r="AB100" s="5"/>
      <c r="AC100" s="5"/>
      <c r="AD100" s="5"/>
      <c r="AE100" s="5"/>
    </row>
    <row r="101" spans="1:31" ht="15.75" customHeight="1" x14ac:dyDescent="0.25">
      <c r="A101" s="5" t="s">
        <v>107</v>
      </c>
      <c r="B101" s="3">
        <v>4103.99</v>
      </c>
      <c r="C101" s="3">
        <v>1169</v>
      </c>
      <c r="D101" s="3">
        <v>1497.76</v>
      </c>
      <c r="E101" s="3">
        <v>1410.32</v>
      </c>
      <c r="F101" s="3">
        <v>887.03</v>
      </c>
      <c r="G101" s="3">
        <v>1244.0899999999999</v>
      </c>
      <c r="H101" s="3">
        <v>1633.95</v>
      </c>
      <c r="I101" s="3">
        <v>2572.27</v>
      </c>
      <c r="J101" s="3">
        <v>2551.0300000000002</v>
      </c>
      <c r="K101" s="3">
        <v>2956.97</v>
      </c>
      <c r="L101" s="3">
        <v>5155.0600000000004</v>
      </c>
      <c r="M101" s="3">
        <v>4786.2</v>
      </c>
      <c r="N101" s="3">
        <v>1555</v>
      </c>
      <c r="O101" s="52">
        <v>11620.37</v>
      </c>
      <c r="P101" s="3">
        <v>7661</v>
      </c>
      <c r="Q101" s="42">
        <v>7661</v>
      </c>
      <c r="R101" s="42">
        <v>3721.11</v>
      </c>
      <c r="S101" s="3">
        <v>0</v>
      </c>
      <c r="T101" s="3">
        <f t="shared" si="39"/>
        <v>3721.11</v>
      </c>
      <c r="U101" s="3">
        <f t="shared" si="36"/>
        <v>-3939.89</v>
      </c>
      <c r="V101" s="3">
        <f t="shared" si="37"/>
        <v>-3939.89</v>
      </c>
      <c r="W101" s="3">
        <v>0</v>
      </c>
      <c r="X101" s="3">
        <f t="shared" si="38"/>
        <v>-7661</v>
      </c>
      <c r="Y101" s="10">
        <f>+X101/P101</f>
        <v>-1</v>
      </c>
      <c r="Z101" s="4"/>
      <c r="AA101" s="4"/>
      <c r="AB101" s="5"/>
      <c r="AC101" s="5"/>
      <c r="AD101" s="5"/>
      <c r="AE101" s="5"/>
    </row>
    <row r="102" spans="1:31" ht="15.75" customHeight="1" x14ac:dyDescent="0.25">
      <c r="A102" s="5" t="s">
        <v>108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52">
        <v>0</v>
      </c>
      <c r="P102" s="3">
        <v>20000</v>
      </c>
      <c r="Q102" s="42">
        <v>20000</v>
      </c>
      <c r="R102" s="42">
        <v>0</v>
      </c>
      <c r="S102" s="3"/>
      <c r="T102" s="3">
        <f t="shared" si="39"/>
        <v>0</v>
      </c>
      <c r="U102" s="3">
        <f t="shared" si="36"/>
        <v>-20000</v>
      </c>
      <c r="V102" s="3">
        <f t="shared" si="37"/>
        <v>-20000</v>
      </c>
      <c r="W102" s="3">
        <v>20000</v>
      </c>
      <c r="X102" s="3">
        <f t="shared" si="38"/>
        <v>0</v>
      </c>
      <c r="Y102" s="10">
        <f>+X102/P102</f>
        <v>0</v>
      </c>
      <c r="Z102" s="4"/>
      <c r="AA102" s="4"/>
      <c r="AB102" s="5"/>
      <c r="AC102" s="5"/>
      <c r="AD102" s="5"/>
      <c r="AE102" s="5"/>
    </row>
    <row r="103" spans="1:31" ht="15.75" customHeight="1" x14ac:dyDescent="0.25">
      <c r="A103" s="1" t="s">
        <v>109</v>
      </c>
      <c r="B103" s="13">
        <f t="shared" ref="B103:J103" si="41">SUM(B96:B102)</f>
        <v>56031.99</v>
      </c>
      <c r="C103" s="13">
        <f t="shared" si="41"/>
        <v>58193</v>
      </c>
      <c r="D103" s="13">
        <f t="shared" si="41"/>
        <v>59810.420000000006</v>
      </c>
      <c r="E103" s="13">
        <f t="shared" si="41"/>
        <v>53900.38</v>
      </c>
      <c r="F103" s="13">
        <f t="shared" si="41"/>
        <v>51326.05</v>
      </c>
      <c r="G103" s="13">
        <f t="shared" si="41"/>
        <v>52174.06</v>
      </c>
      <c r="H103" s="13">
        <f t="shared" si="41"/>
        <v>57244.42</v>
      </c>
      <c r="I103" s="13">
        <f t="shared" si="41"/>
        <v>60319.34</v>
      </c>
      <c r="J103" s="13">
        <f t="shared" si="41"/>
        <v>81859.03</v>
      </c>
      <c r="K103" s="13">
        <f t="shared" ref="K103:X103" si="42">SUM(K96:K102)</f>
        <v>67274.689999999988</v>
      </c>
      <c r="L103" s="13">
        <f t="shared" si="42"/>
        <v>71469.820000000007</v>
      </c>
      <c r="M103" s="13">
        <f t="shared" si="42"/>
        <v>76428.739999999991</v>
      </c>
      <c r="N103" s="13">
        <f t="shared" si="42"/>
        <v>73976</v>
      </c>
      <c r="O103" s="54">
        <f t="shared" si="42"/>
        <v>105179.12</v>
      </c>
      <c r="P103" s="13">
        <f t="shared" si="42"/>
        <v>143223</v>
      </c>
      <c r="Q103" s="44">
        <f t="shared" si="42"/>
        <v>143223</v>
      </c>
      <c r="R103" s="44">
        <f t="shared" si="42"/>
        <v>109310.62000000001</v>
      </c>
      <c r="S103" s="13">
        <f t="shared" si="42"/>
        <v>0</v>
      </c>
      <c r="T103" s="13">
        <f t="shared" si="42"/>
        <v>109310.62000000001</v>
      </c>
      <c r="U103" s="13">
        <f t="shared" si="42"/>
        <v>-33912.379999999997</v>
      </c>
      <c r="V103" s="13">
        <f t="shared" si="42"/>
        <v>-33912.379999999997</v>
      </c>
      <c r="W103" s="13">
        <f t="shared" si="42"/>
        <v>120892</v>
      </c>
      <c r="X103" s="13">
        <f t="shared" si="42"/>
        <v>-22331</v>
      </c>
      <c r="Y103" s="16">
        <f>+X103/P103</f>
        <v>-0.15591769478365905</v>
      </c>
      <c r="Z103" s="4"/>
      <c r="AA103" s="4"/>
      <c r="AB103" s="5"/>
      <c r="AC103" s="5"/>
      <c r="AD103" s="5"/>
      <c r="AE103" s="5"/>
    </row>
    <row r="104" spans="1:31" ht="15.75" customHeight="1" x14ac:dyDescent="0.25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52"/>
      <c r="P104" s="3"/>
      <c r="Q104" s="42"/>
      <c r="R104" s="42"/>
      <c r="S104" s="3"/>
      <c r="T104" s="3"/>
      <c r="U104" s="3"/>
      <c r="V104" s="3"/>
      <c r="W104" s="3"/>
      <c r="X104" s="3"/>
      <c r="Y104" s="10"/>
      <c r="Z104" s="4"/>
      <c r="AA104" s="4"/>
      <c r="AB104" s="5"/>
      <c r="AC104" s="5"/>
      <c r="AD104" s="5"/>
      <c r="AE104" s="5"/>
    </row>
    <row r="105" spans="1:31" ht="15.75" customHeight="1" x14ac:dyDescent="0.25">
      <c r="A105" s="9" t="s">
        <v>110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52"/>
      <c r="P105" s="3"/>
      <c r="Q105" s="42"/>
      <c r="R105" s="42"/>
      <c r="S105" s="3"/>
      <c r="T105" s="3"/>
      <c r="U105" s="3"/>
      <c r="V105" s="3"/>
      <c r="W105" s="3"/>
      <c r="X105" s="3"/>
      <c r="Y105" s="10"/>
      <c r="Z105" s="4"/>
      <c r="AA105" s="4"/>
      <c r="AB105" s="5"/>
      <c r="AC105" s="5"/>
      <c r="AD105" s="5"/>
      <c r="AE105" s="5"/>
    </row>
    <row r="106" spans="1:31" ht="15.75" customHeight="1" x14ac:dyDescent="0.25">
      <c r="A106" s="5" t="s">
        <v>111</v>
      </c>
      <c r="B106" s="3">
        <v>606008.68000000005</v>
      </c>
      <c r="C106" s="3">
        <v>718504</v>
      </c>
      <c r="D106" s="3">
        <v>742318.98</v>
      </c>
      <c r="E106" s="3">
        <v>735973.16</v>
      </c>
      <c r="F106" s="3">
        <v>765148.04</v>
      </c>
      <c r="G106" s="3">
        <v>795262.98</v>
      </c>
      <c r="H106" s="3">
        <v>826461.68</v>
      </c>
      <c r="I106" s="3">
        <v>912724.58</v>
      </c>
      <c r="J106" s="3">
        <v>759997.07</v>
      </c>
      <c r="K106" s="3">
        <v>790946.46</v>
      </c>
      <c r="L106" s="3">
        <v>884543.98</v>
      </c>
      <c r="M106" s="3">
        <v>893403.33</v>
      </c>
      <c r="N106" s="3">
        <v>897105</v>
      </c>
      <c r="O106" s="52">
        <v>925414.54</v>
      </c>
      <c r="P106" s="3">
        <v>998000</v>
      </c>
      <c r="Q106" s="42">
        <v>967900</v>
      </c>
      <c r="R106" s="42">
        <f>529249.67-3000</f>
        <v>526249.67000000004</v>
      </c>
      <c r="S106" s="3">
        <f>34911+42313+(39000*7)</f>
        <v>350224</v>
      </c>
      <c r="T106" s="3">
        <f t="shared" ref="T106:T141" si="43">+R106+S106</f>
        <v>876473.67</v>
      </c>
      <c r="U106" s="3">
        <f>+T106-P106</f>
        <v>-121526.32999999996</v>
      </c>
      <c r="V106" s="3">
        <f t="shared" ref="V106:V147" si="44">+T106-Q106</f>
        <v>-91426.329999999958</v>
      </c>
      <c r="W106" s="3">
        <v>998000</v>
      </c>
      <c r="X106" s="3">
        <f t="shared" ref="X106:X141" si="45">+W106-P106</f>
        <v>0</v>
      </c>
      <c r="Y106" s="10">
        <f>+X106/P106</f>
        <v>0</v>
      </c>
      <c r="Z106" s="4"/>
      <c r="AA106" s="4"/>
      <c r="AB106" s="5"/>
      <c r="AC106" s="5"/>
      <c r="AD106" s="5"/>
      <c r="AE106" s="5"/>
    </row>
    <row r="107" spans="1:31" ht="15.75" customHeight="1" x14ac:dyDescent="0.25">
      <c r="A107" s="5" t="s">
        <v>112</v>
      </c>
      <c r="B107" s="3">
        <v>158173.63</v>
      </c>
      <c r="C107" s="3">
        <v>150283</v>
      </c>
      <c r="D107" s="3">
        <v>153639.72</v>
      </c>
      <c r="E107" s="3">
        <v>158025.70000000001</v>
      </c>
      <c r="F107" s="3">
        <v>163518.57</v>
      </c>
      <c r="G107" s="3">
        <v>170410.74</v>
      </c>
      <c r="H107" s="3">
        <v>182656.75</v>
      </c>
      <c r="I107" s="3">
        <v>176251.83</v>
      </c>
      <c r="J107" s="3">
        <v>184813.48</v>
      </c>
      <c r="K107" s="3">
        <v>192448</v>
      </c>
      <c r="L107" s="3">
        <v>204515.88</v>
      </c>
      <c r="M107" s="3">
        <v>141575.54999999999</v>
      </c>
      <c r="N107" s="3">
        <v>157464</v>
      </c>
      <c r="O107" s="52">
        <v>150337.24</v>
      </c>
      <c r="P107" s="3">
        <v>175000</v>
      </c>
      <c r="Q107" s="42">
        <v>175000</v>
      </c>
      <c r="R107" s="42">
        <f>106053.23-1000</f>
        <v>105053.23</v>
      </c>
      <c r="S107" s="3">
        <f>+(6300*7)+5753+6121</f>
        <v>55974</v>
      </c>
      <c r="T107" s="3">
        <f t="shared" si="43"/>
        <v>161027.22999999998</v>
      </c>
      <c r="U107" s="3">
        <f t="shared" ref="U107:U147" si="46">+T107-P107</f>
        <v>-13972.770000000019</v>
      </c>
      <c r="V107" s="3">
        <f t="shared" si="44"/>
        <v>-13972.770000000019</v>
      </c>
      <c r="W107" s="3">
        <v>175000</v>
      </c>
      <c r="X107" s="3">
        <f t="shared" si="45"/>
        <v>0</v>
      </c>
      <c r="Y107" s="10">
        <f>+X107/P107</f>
        <v>0</v>
      </c>
      <c r="Z107" s="4"/>
      <c r="AA107" s="4"/>
      <c r="AB107" s="5"/>
      <c r="AC107" s="5"/>
      <c r="AD107" s="5"/>
      <c r="AE107" s="5"/>
    </row>
    <row r="108" spans="1:31" ht="15.75" customHeight="1" x14ac:dyDescent="0.25">
      <c r="A108" s="5" t="s">
        <v>113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3">
        <v>4794</v>
      </c>
      <c r="O108" s="52"/>
      <c r="P108" s="6"/>
      <c r="Q108" s="42">
        <v>0</v>
      </c>
      <c r="R108" s="42">
        <v>8698.64</v>
      </c>
      <c r="S108" s="3">
        <v>0</v>
      </c>
      <c r="T108" s="3">
        <f t="shared" si="43"/>
        <v>8698.64</v>
      </c>
      <c r="U108" s="3">
        <f t="shared" si="46"/>
        <v>8698.64</v>
      </c>
      <c r="V108" s="3">
        <f t="shared" si="44"/>
        <v>8698.64</v>
      </c>
      <c r="W108" s="6"/>
      <c r="X108" s="3">
        <f t="shared" si="45"/>
        <v>0</v>
      </c>
      <c r="Y108" s="10"/>
      <c r="Z108" s="57"/>
      <c r="AA108" s="4"/>
      <c r="AB108" s="5"/>
      <c r="AC108" s="5"/>
      <c r="AD108" s="5"/>
      <c r="AE108" s="5"/>
    </row>
    <row r="109" spans="1:31" ht="15.75" customHeight="1" x14ac:dyDescent="0.25">
      <c r="A109" s="5" t="s">
        <v>114</v>
      </c>
      <c r="B109" s="3">
        <v>3640</v>
      </c>
      <c r="C109" s="3">
        <v>3710</v>
      </c>
      <c r="D109" s="3">
        <v>3640</v>
      </c>
      <c r="E109" s="3">
        <v>3640</v>
      </c>
      <c r="F109" s="3">
        <v>3500</v>
      </c>
      <c r="G109" s="3">
        <v>3640</v>
      </c>
      <c r="H109" s="3">
        <v>3710</v>
      </c>
      <c r="I109" s="3">
        <v>3640</v>
      </c>
      <c r="J109" s="3">
        <v>3375</v>
      </c>
      <c r="K109" s="3">
        <v>4064</v>
      </c>
      <c r="L109" s="3">
        <v>3950</v>
      </c>
      <c r="M109" s="3">
        <v>4160</v>
      </c>
      <c r="N109" s="3">
        <v>4285</v>
      </c>
      <c r="O109" s="52">
        <v>4243.75</v>
      </c>
      <c r="P109" s="3">
        <v>4546</v>
      </c>
      <c r="Q109" s="42">
        <v>4546</v>
      </c>
      <c r="R109" s="42">
        <v>2884.86</v>
      </c>
      <c r="S109" s="3">
        <f>174.84*9</f>
        <v>1573.56</v>
      </c>
      <c r="T109" s="3">
        <f t="shared" si="43"/>
        <v>4458.42</v>
      </c>
      <c r="U109" s="3">
        <f t="shared" si="46"/>
        <v>-87.579999999999927</v>
      </c>
      <c r="V109" s="3">
        <f t="shared" si="44"/>
        <v>-87.579999999999927</v>
      </c>
      <c r="W109" s="3">
        <v>4690</v>
      </c>
      <c r="X109" s="3">
        <f t="shared" si="45"/>
        <v>144</v>
      </c>
      <c r="Y109" s="10">
        <f t="shared" ref="Y109:Y114" si="47">+X109/P109</f>
        <v>3.1676198856137261E-2</v>
      </c>
      <c r="Z109" s="4"/>
      <c r="AA109" s="4"/>
      <c r="AB109" s="5"/>
      <c r="AC109" s="5"/>
      <c r="AD109" s="5"/>
      <c r="AE109" s="5"/>
    </row>
    <row r="110" spans="1:31" ht="15.75" customHeight="1" x14ac:dyDescent="0.25">
      <c r="A110" s="5" t="s">
        <v>115</v>
      </c>
      <c r="B110" s="3">
        <v>2670</v>
      </c>
      <c r="C110" s="3">
        <v>3652</v>
      </c>
      <c r="D110" s="3">
        <v>2587.5</v>
      </c>
      <c r="E110" s="3">
        <v>2407.5</v>
      </c>
      <c r="F110" s="3">
        <v>2565</v>
      </c>
      <c r="G110" s="3">
        <v>2680</v>
      </c>
      <c r="H110" s="3">
        <v>2752</v>
      </c>
      <c r="I110" s="3">
        <v>2536</v>
      </c>
      <c r="J110" s="3">
        <v>280</v>
      </c>
      <c r="K110" s="3"/>
      <c r="L110" s="3"/>
      <c r="M110" s="3">
        <v>4530</v>
      </c>
      <c r="N110" s="3">
        <v>5332</v>
      </c>
      <c r="O110" s="52">
        <v>2832.87</v>
      </c>
      <c r="P110" s="3">
        <v>5901</v>
      </c>
      <c r="Q110" s="42">
        <v>5901</v>
      </c>
      <c r="R110" s="42">
        <v>2689.77</v>
      </c>
      <c r="S110" s="3">
        <f>300*9</f>
        <v>2700</v>
      </c>
      <c r="T110" s="3">
        <f t="shared" si="43"/>
        <v>5389.77</v>
      </c>
      <c r="U110" s="3">
        <f t="shared" si="46"/>
        <v>-511.22999999999956</v>
      </c>
      <c r="V110" s="3">
        <f t="shared" si="44"/>
        <v>-511.22999999999956</v>
      </c>
      <c r="W110" s="3">
        <v>6100</v>
      </c>
      <c r="X110" s="3">
        <f t="shared" si="45"/>
        <v>199</v>
      </c>
      <c r="Y110" s="10">
        <f t="shared" si="47"/>
        <v>3.3723097780037285E-2</v>
      </c>
      <c r="Z110" s="4"/>
      <c r="AA110" s="4"/>
      <c r="AB110" s="5"/>
      <c r="AC110" s="5"/>
      <c r="AD110" s="5"/>
      <c r="AE110" s="5"/>
    </row>
    <row r="111" spans="1:31" ht="15.75" customHeight="1" x14ac:dyDescent="0.25">
      <c r="A111" s="5" t="s">
        <v>116</v>
      </c>
      <c r="B111" s="3">
        <v>31827.57</v>
      </c>
      <c r="C111" s="3">
        <v>37703</v>
      </c>
      <c r="D111" s="3">
        <v>27966.44</v>
      </c>
      <c r="E111" s="3">
        <v>16521</v>
      </c>
      <c r="F111" s="3">
        <v>11145.74</v>
      </c>
      <c r="G111" s="3">
        <v>12143.3</v>
      </c>
      <c r="H111" s="3">
        <v>13432.59</v>
      </c>
      <c r="I111" s="3">
        <v>14250.49</v>
      </c>
      <c r="J111" s="3">
        <v>14413.75</v>
      </c>
      <c r="K111" s="3">
        <v>20917.349999999999</v>
      </c>
      <c r="L111" s="3">
        <v>23162.19</v>
      </c>
      <c r="M111" s="3">
        <v>29929.279999999999</v>
      </c>
      <c r="N111" s="3">
        <v>53084</v>
      </c>
      <c r="O111" s="52">
        <v>53507</v>
      </c>
      <c r="P111" s="3">
        <v>45424</v>
      </c>
      <c r="Q111" s="42">
        <v>45424</v>
      </c>
      <c r="R111" s="42">
        <f>20206.81+4000</f>
        <v>24206.81</v>
      </c>
      <c r="S111" s="3">
        <f>10695*2</f>
        <v>21390</v>
      </c>
      <c r="T111" s="3">
        <f t="shared" si="43"/>
        <v>45596.81</v>
      </c>
      <c r="U111" s="3">
        <f t="shared" si="46"/>
        <v>172.80999999999767</v>
      </c>
      <c r="V111" s="3">
        <f t="shared" si="44"/>
        <v>172.80999999999767</v>
      </c>
      <c r="W111" s="3">
        <v>50713</v>
      </c>
      <c r="X111" s="3">
        <f t="shared" si="45"/>
        <v>5289</v>
      </c>
      <c r="Y111" s="10">
        <f t="shared" si="47"/>
        <v>0.11643624515674533</v>
      </c>
      <c r="Z111" s="4"/>
      <c r="AA111" s="4"/>
      <c r="AB111" s="5"/>
      <c r="AC111" s="5"/>
      <c r="AD111" s="5"/>
      <c r="AE111" s="5"/>
    </row>
    <row r="112" spans="1:31" ht="15.75" customHeight="1" x14ac:dyDescent="0.25">
      <c r="A112" s="5" t="s">
        <v>117</v>
      </c>
      <c r="B112" s="3"/>
      <c r="C112" s="3"/>
      <c r="D112" s="3"/>
      <c r="E112" s="3"/>
      <c r="F112" s="3"/>
      <c r="G112" s="3"/>
      <c r="H112" s="3"/>
      <c r="I112" s="3">
        <v>35137.800000000003</v>
      </c>
      <c r="J112" s="3">
        <v>25939.599999999999</v>
      </c>
      <c r="K112" s="3">
        <v>24672.5</v>
      </c>
      <c r="L112" s="3">
        <v>45851.57</v>
      </c>
      <c r="M112" s="3">
        <v>42624.76</v>
      </c>
      <c r="N112" s="3">
        <v>76531</v>
      </c>
      <c r="O112" s="52">
        <v>86198.52</v>
      </c>
      <c r="P112" s="3">
        <v>87600</v>
      </c>
      <c r="Q112" s="42">
        <v>87600</v>
      </c>
      <c r="R112" s="42">
        <v>47628.23</v>
      </c>
      <c r="S112" s="3">
        <f>5922+4325+(5100*7)</f>
        <v>45947</v>
      </c>
      <c r="T112" s="3">
        <f t="shared" si="43"/>
        <v>93575.23000000001</v>
      </c>
      <c r="U112" s="3">
        <f t="shared" si="46"/>
        <v>5975.2300000000105</v>
      </c>
      <c r="V112" s="3">
        <f t="shared" si="44"/>
        <v>5975.2300000000105</v>
      </c>
      <c r="W112" s="3">
        <v>87600</v>
      </c>
      <c r="X112" s="3">
        <f t="shared" si="45"/>
        <v>0</v>
      </c>
      <c r="Y112" s="10">
        <f t="shared" si="47"/>
        <v>0</v>
      </c>
      <c r="Z112" s="4"/>
      <c r="AA112" s="4"/>
      <c r="AB112" s="5"/>
      <c r="AC112" s="5"/>
      <c r="AD112" s="5"/>
      <c r="AE112" s="5"/>
    </row>
    <row r="113" spans="1:31" ht="15.75" customHeight="1" x14ac:dyDescent="0.25">
      <c r="A113" s="5" t="s">
        <v>118</v>
      </c>
      <c r="B113" s="3">
        <v>47275.040000000001</v>
      </c>
      <c r="C113" s="3">
        <v>16777.900000000001</v>
      </c>
      <c r="D113" s="3">
        <v>4285</v>
      </c>
      <c r="E113" s="3">
        <v>9385.07</v>
      </c>
      <c r="F113" s="3">
        <v>8991.2900000000009</v>
      </c>
      <c r="G113" s="3">
        <v>37589.870000000003</v>
      </c>
      <c r="H113" s="3">
        <v>2432.64</v>
      </c>
      <c r="I113" s="3"/>
      <c r="J113" s="3">
        <v>5556.97</v>
      </c>
      <c r="K113" s="3">
        <v>5536.16</v>
      </c>
      <c r="L113" s="3">
        <v>5572.39</v>
      </c>
      <c r="M113" s="3">
        <v>1766.48</v>
      </c>
      <c r="N113" s="3">
        <v>20212</v>
      </c>
      <c r="O113" s="52">
        <v>1439.61</v>
      </c>
      <c r="P113" s="3">
        <v>1500</v>
      </c>
      <c r="Q113" s="42">
        <v>1500</v>
      </c>
      <c r="R113" s="42">
        <v>0</v>
      </c>
      <c r="S113" s="3"/>
      <c r="T113" s="3">
        <f t="shared" si="43"/>
        <v>0</v>
      </c>
      <c r="U113" s="3">
        <f t="shared" si="46"/>
        <v>-1500</v>
      </c>
      <c r="V113" s="3">
        <f t="shared" si="44"/>
        <v>-1500</v>
      </c>
      <c r="W113" s="3">
        <v>1500</v>
      </c>
      <c r="X113" s="3">
        <f t="shared" si="45"/>
        <v>0</v>
      </c>
      <c r="Y113" s="10">
        <f t="shared" si="47"/>
        <v>0</v>
      </c>
      <c r="Z113" s="4"/>
      <c r="AA113" s="4"/>
      <c r="AB113" s="5"/>
      <c r="AC113" s="5"/>
      <c r="AD113" s="5"/>
      <c r="AE113" s="5"/>
    </row>
    <row r="114" spans="1:31" ht="15.75" hidden="1" customHeight="1" x14ac:dyDescent="0.25">
      <c r="A114" s="5" t="s">
        <v>119</v>
      </c>
      <c r="B114" s="3"/>
      <c r="C114" s="3"/>
      <c r="D114" s="3"/>
      <c r="E114" s="3">
        <v>4213.45</v>
      </c>
      <c r="F114" s="3"/>
      <c r="G114" s="3"/>
      <c r="H114" s="3"/>
      <c r="I114" s="3"/>
      <c r="J114" s="3"/>
      <c r="K114" s="3"/>
      <c r="L114" s="3"/>
      <c r="M114" s="3"/>
      <c r="N114" s="3"/>
      <c r="O114" s="52"/>
      <c r="P114" s="3"/>
      <c r="Q114" s="42"/>
      <c r="R114" s="42"/>
      <c r="S114" s="3"/>
      <c r="T114" s="3">
        <f t="shared" si="43"/>
        <v>0</v>
      </c>
      <c r="U114" s="3">
        <f t="shared" si="46"/>
        <v>0</v>
      </c>
      <c r="V114" s="3">
        <f t="shared" si="44"/>
        <v>0</v>
      </c>
      <c r="W114" s="3"/>
      <c r="X114" s="3">
        <f t="shared" si="45"/>
        <v>0</v>
      </c>
      <c r="Y114" s="10" t="e">
        <f t="shared" si="47"/>
        <v>#DIV/0!</v>
      </c>
      <c r="Z114" s="4"/>
      <c r="AA114" s="4"/>
      <c r="AB114" s="5"/>
      <c r="AC114" s="5"/>
      <c r="AD114" s="5"/>
      <c r="AE114" s="5"/>
    </row>
    <row r="115" spans="1:31" ht="15.75" customHeight="1" x14ac:dyDescent="0.25">
      <c r="A115" s="5" t="s">
        <v>120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52">
        <v>144915.32</v>
      </c>
      <c r="P115" s="3">
        <v>0</v>
      </c>
      <c r="Q115" s="42">
        <v>0</v>
      </c>
      <c r="R115" s="42">
        <v>59546.02</v>
      </c>
      <c r="S115" s="3">
        <v>0</v>
      </c>
      <c r="T115" s="3">
        <f t="shared" si="43"/>
        <v>59546.02</v>
      </c>
      <c r="U115" s="3">
        <f t="shared" si="46"/>
        <v>59546.02</v>
      </c>
      <c r="V115" s="3">
        <f t="shared" si="44"/>
        <v>59546.02</v>
      </c>
      <c r="W115" s="3">
        <v>0</v>
      </c>
      <c r="X115" s="3">
        <f t="shared" si="45"/>
        <v>0</v>
      </c>
      <c r="Y115" s="10"/>
      <c r="Z115" s="57"/>
      <c r="AA115" s="4"/>
      <c r="AB115" s="5"/>
      <c r="AC115" s="5"/>
      <c r="AD115" s="5"/>
      <c r="AE115" s="5"/>
    </row>
    <row r="116" spans="1:31" ht="15.75" customHeight="1" x14ac:dyDescent="0.25">
      <c r="A116" s="5" t="s">
        <v>453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52"/>
      <c r="P116" s="3"/>
      <c r="Q116" s="42">
        <v>400000</v>
      </c>
      <c r="R116" s="42">
        <v>189508.44</v>
      </c>
      <c r="S116" s="3">
        <f>400000-R116-147028</f>
        <v>63463.56</v>
      </c>
      <c r="T116" s="3">
        <f>+R116+S116</f>
        <v>252972</v>
      </c>
      <c r="U116" s="3">
        <f t="shared" si="46"/>
        <v>252972</v>
      </c>
      <c r="V116" s="3">
        <f t="shared" si="44"/>
        <v>-147028</v>
      </c>
      <c r="W116" s="3">
        <v>147028</v>
      </c>
      <c r="X116" s="3">
        <f t="shared" si="45"/>
        <v>147028</v>
      </c>
      <c r="Y116" s="5"/>
      <c r="Z116" s="4"/>
      <c r="AA116" s="4"/>
      <c r="AB116" s="5"/>
      <c r="AC116" s="5"/>
      <c r="AD116" s="5"/>
      <c r="AE116" s="5"/>
    </row>
    <row r="117" spans="1:31" ht="15.75" customHeight="1" x14ac:dyDescent="0.25">
      <c r="A117" s="5" t="s">
        <v>121</v>
      </c>
      <c r="B117" s="3">
        <v>1416.69</v>
      </c>
      <c r="C117" s="3">
        <v>4827</v>
      </c>
      <c r="D117" s="3">
        <v>2525.79</v>
      </c>
      <c r="E117" s="3">
        <v>2106.15</v>
      </c>
      <c r="F117" s="3">
        <v>5242.99</v>
      </c>
      <c r="G117" s="3">
        <v>6910.57</v>
      </c>
      <c r="H117" s="3">
        <v>3061.55</v>
      </c>
      <c r="I117" s="3">
        <v>3563.7</v>
      </c>
      <c r="J117" s="3">
        <v>5066.22</v>
      </c>
      <c r="K117" s="3">
        <v>5166.67</v>
      </c>
      <c r="L117" s="3">
        <v>12473.17</v>
      </c>
      <c r="M117" s="3">
        <v>5540.41</v>
      </c>
      <c r="N117" s="3">
        <v>8564</v>
      </c>
      <c r="O117" s="52">
        <v>6966.27</v>
      </c>
      <c r="P117" s="3">
        <v>6000</v>
      </c>
      <c r="Q117" s="42">
        <v>6000</v>
      </c>
      <c r="R117" s="42">
        <v>6885.04</v>
      </c>
      <c r="S117" s="3">
        <f>800*4</f>
        <v>3200</v>
      </c>
      <c r="T117" s="3">
        <f>+R117+S117</f>
        <v>10085.040000000001</v>
      </c>
      <c r="U117" s="3">
        <f t="shared" si="46"/>
        <v>4085.0400000000009</v>
      </c>
      <c r="V117" s="3">
        <f t="shared" si="44"/>
        <v>4085.0400000000009</v>
      </c>
      <c r="W117" s="3">
        <v>6000</v>
      </c>
      <c r="X117" s="3">
        <f t="shared" si="45"/>
        <v>0</v>
      </c>
      <c r="Y117" s="10">
        <f t="shared" ref="Y117:Y141" si="48">+X117/P117</f>
        <v>0</v>
      </c>
      <c r="Z117" s="57" t="s">
        <v>436</v>
      </c>
      <c r="AA117" s="4"/>
      <c r="AB117" s="5"/>
      <c r="AC117" s="5"/>
      <c r="AD117" s="5"/>
      <c r="AE117" s="5"/>
    </row>
    <row r="118" spans="1:31" ht="15.75" customHeight="1" x14ac:dyDescent="0.25">
      <c r="A118" s="5" t="s">
        <v>122</v>
      </c>
      <c r="B118" s="3">
        <v>397.7</v>
      </c>
      <c r="C118" s="3">
        <v>144</v>
      </c>
      <c r="D118" s="3">
        <v>320.39999999999998</v>
      </c>
      <c r="E118" s="3">
        <v>236.67</v>
      </c>
      <c r="F118" s="3">
        <v>196</v>
      </c>
      <c r="G118" s="3">
        <v>271.95</v>
      </c>
      <c r="H118" s="3">
        <v>140</v>
      </c>
      <c r="I118" s="3">
        <v>119</v>
      </c>
      <c r="J118" s="3">
        <v>175</v>
      </c>
      <c r="K118" s="3">
        <v>141</v>
      </c>
      <c r="L118" s="3">
        <v>38.44</v>
      </c>
      <c r="M118" s="3">
        <v>172.17</v>
      </c>
      <c r="N118" s="3">
        <v>122</v>
      </c>
      <c r="O118" s="52">
        <v>309.52999999999997</v>
      </c>
      <c r="P118" s="3">
        <v>400</v>
      </c>
      <c r="Q118" s="42">
        <v>400</v>
      </c>
      <c r="R118" s="42">
        <v>52.61</v>
      </c>
      <c r="S118" s="3">
        <v>0</v>
      </c>
      <c r="T118" s="3">
        <f t="shared" si="43"/>
        <v>52.61</v>
      </c>
      <c r="U118" s="3">
        <f t="shared" si="46"/>
        <v>-347.39</v>
      </c>
      <c r="V118" s="3">
        <f t="shared" si="44"/>
        <v>-347.39</v>
      </c>
      <c r="W118" s="3">
        <v>400</v>
      </c>
      <c r="X118" s="3">
        <f t="shared" si="45"/>
        <v>0</v>
      </c>
      <c r="Y118" s="10">
        <f t="shared" si="48"/>
        <v>0</v>
      </c>
      <c r="Z118" s="4"/>
      <c r="AA118" s="4"/>
      <c r="AB118" s="5"/>
      <c r="AC118" s="5"/>
      <c r="AD118" s="5"/>
      <c r="AE118" s="5"/>
    </row>
    <row r="119" spans="1:31" ht="15.75" customHeight="1" x14ac:dyDescent="0.25">
      <c r="A119" s="5" t="s">
        <v>123</v>
      </c>
      <c r="B119" s="3">
        <v>3962.03</v>
      </c>
      <c r="C119" s="3">
        <v>2059</v>
      </c>
      <c r="D119" s="3">
        <v>1582</v>
      </c>
      <c r="E119" s="3">
        <v>2290.63</v>
      </c>
      <c r="F119" s="3">
        <v>1767.77</v>
      </c>
      <c r="G119" s="3">
        <v>1968.61</v>
      </c>
      <c r="H119" s="3">
        <v>2986.28</v>
      </c>
      <c r="I119" s="3">
        <v>2715.15</v>
      </c>
      <c r="J119" s="3">
        <v>1931.56</v>
      </c>
      <c r="K119" s="3">
        <v>2441.08</v>
      </c>
      <c r="L119" s="3">
        <v>2285.37</v>
      </c>
      <c r="M119" s="3">
        <v>2186</v>
      </c>
      <c r="N119" s="3">
        <v>2204</v>
      </c>
      <c r="O119" s="52">
        <v>1564.27</v>
      </c>
      <c r="P119" s="3">
        <v>2500</v>
      </c>
      <c r="Q119" s="42">
        <v>2500</v>
      </c>
      <c r="R119" s="42">
        <v>974.17</v>
      </c>
      <c r="S119" s="3">
        <f>100*4</f>
        <v>400</v>
      </c>
      <c r="T119" s="3">
        <f t="shared" si="43"/>
        <v>1374.17</v>
      </c>
      <c r="U119" s="3">
        <f t="shared" si="46"/>
        <v>-1125.83</v>
      </c>
      <c r="V119" s="3">
        <f t="shared" si="44"/>
        <v>-1125.83</v>
      </c>
      <c r="W119" s="3">
        <v>2500</v>
      </c>
      <c r="X119" s="3">
        <f t="shared" si="45"/>
        <v>0</v>
      </c>
      <c r="Y119" s="10">
        <f t="shared" si="48"/>
        <v>0</v>
      </c>
      <c r="Z119" s="4"/>
      <c r="AA119" s="4"/>
      <c r="AB119" s="5"/>
      <c r="AC119" s="5"/>
      <c r="AD119" s="5"/>
      <c r="AE119" s="5"/>
    </row>
    <row r="120" spans="1:31" ht="15.75" customHeight="1" x14ac:dyDescent="0.25">
      <c r="A120" s="5" t="s">
        <v>124</v>
      </c>
      <c r="B120" s="3">
        <v>17955.75</v>
      </c>
      <c r="C120" s="3">
        <v>18851</v>
      </c>
      <c r="D120" s="3">
        <v>18214.5</v>
      </c>
      <c r="E120" s="3">
        <v>17786</v>
      </c>
      <c r="F120" s="3">
        <v>17786</v>
      </c>
      <c r="G120" s="3">
        <v>18182</v>
      </c>
      <c r="H120" s="3">
        <v>18330.04</v>
      </c>
      <c r="I120" s="3">
        <v>19027.32</v>
      </c>
      <c r="J120" s="3">
        <v>21269.5</v>
      </c>
      <c r="K120" s="3">
        <v>2446</v>
      </c>
      <c r="L120" s="3">
        <v>948</v>
      </c>
      <c r="M120" s="3">
        <v>690</v>
      </c>
      <c r="N120" s="3">
        <v>2872</v>
      </c>
      <c r="O120" s="52">
        <v>897</v>
      </c>
      <c r="P120" s="3">
        <v>1000</v>
      </c>
      <c r="Q120" s="42">
        <v>1000</v>
      </c>
      <c r="R120" s="42">
        <v>552</v>
      </c>
      <c r="S120" s="3">
        <f>69*4</f>
        <v>276</v>
      </c>
      <c r="T120" s="3">
        <f t="shared" si="43"/>
        <v>828</v>
      </c>
      <c r="U120" s="3">
        <f t="shared" si="46"/>
        <v>-172</v>
      </c>
      <c r="V120" s="3">
        <f t="shared" si="44"/>
        <v>-172</v>
      </c>
      <c r="W120" s="3">
        <v>1000</v>
      </c>
      <c r="X120" s="3">
        <f t="shared" si="45"/>
        <v>0</v>
      </c>
      <c r="Y120" s="10">
        <f t="shared" si="48"/>
        <v>0</v>
      </c>
      <c r="Z120" s="4"/>
      <c r="AA120" s="4"/>
      <c r="AB120" s="5"/>
      <c r="AC120" s="5"/>
      <c r="AD120" s="5"/>
      <c r="AE120" s="5"/>
    </row>
    <row r="121" spans="1:31" ht="15.75" customHeight="1" x14ac:dyDescent="0.25">
      <c r="A121" s="5" t="s">
        <v>125</v>
      </c>
      <c r="B121" s="3">
        <v>6797.16</v>
      </c>
      <c r="C121" s="3">
        <v>7683</v>
      </c>
      <c r="D121" s="3">
        <v>6995.51</v>
      </c>
      <c r="E121" s="3">
        <v>7382.18</v>
      </c>
      <c r="F121" s="3">
        <v>7707.64</v>
      </c>
      <c r="G121" s="3">
        <v>8380.67</v>
      </c>
      <c r="H121" s="3">
        <v>8052.94</v>
      </c>
      <c r="I121" s="3">
        <v>8387.7900000000009</v>
      </c>
      <c r="J121" s="3">
        <v>8880.91</v>
      </c>
      <c r="K121" s="3">
        <v>7259.57</v>
      </c>
      <c r="L121" s="3">
        <v>10660.96</v>
      </c>
      <c r="M121" s="3">
        <v>12705.68</v>
      </c>
      <c r="N121" s="3">
        <v>14308</v>
      </c>
      <c r="O121" s="52">
        <v>10763.87</v>
      </c>
      <c r="P121" s="3">
        <v>14000</v>
      </c>
      <c r="Q121" s="42">
        <v>14000</v>
      </c>
      <c r="R121" s="42">
        <v>7208.49</v>
      </c>
      <c r="S121" s="3">
        <f>800*4</f>
        <v>3200</v>
      </c>
      <c r="T121" s="3">
        <f t="shared" si="43"/>
        <v>10408.49</v>
      </c>
      <c r="U121" s="3">
        <f t="shared" si="46"/>
        <v>-3591.51</v>
      </c>
      <c r="V121" s="3">
        <f t="shared" si="44"/>
        <v>-3591.51</v>
      </c>
      <c r="W121" s="3">
        <v>15000</v>
      </c>
      <c r="X121" s="3">
        <f t="shared" si="45"/>
        <v>1000</v>
      </c>
      <c r="Y121" s="10">
        <f t="shared" si="48"/>
        <v>7.1428571428571425E-2</v>
      </c>
      <c r="Z121" s="4"/>
      <c r="AA121" s="4"/>
      <c r="AB121" s="5"/>
      <c r="AC121" s="5"/>
      <c r="AD121" s="5"/>
      <c r="AE121" s="5"/>
    </row>
    <row r="122" spans="1:31" ht="15.75" customHeight="1" x14ac:dyDescent="0.25">
      <c r="A122" s="5" t="s">
        <v>126</v>
      </c>
      <c r="B122" s="3">
        <v>2601.23</v>
      </c>
      <c r="C122" s="3">
        <v>2990</v>
      </c>
      <c r="D122" s="3">
        <v>165</v>
      </c>
      <c r="E122" s="3">
        <v>2969</v>
      </c>
      <c r="F122" s="3">
        <v>1279</v>
      </c>
      <c r="G122" s="3">
        <v>1583.85</v>
      </c>
      <c r="H122" s="3"/>
      <c r="I122" s="3">
        <v>1535.25</v>
      </c>
      <c r="J122" s="3">
        <v>577.72</v>
      </c>
      <c r="K122" s="3">
        <v>2361.0500000000002</v>
      </c>
      <c r="L122" s="3">
        <v>6995.19</v>
      </c>
      <c r="M122" s="3">
        <v>2355</v>
      </c>
      <c r="N122" s="3">
        <v>5753</v>
      </c>
      <c r="O122" s="52">
        <v>1250</v>
      </c>
      <c r="P122" s="3">
        <v>1000</v>
      </c>
      <c r="Q122" s="42">
        <v>1000</v>
      </c>
      <c r="R122" s="42">
        <v>1415</v>
      </c>
      <c r="S122" s="3">
        <v>3000</v>
      </c>
      <c r="T122" s="3">
        <f t="shared" si="43"/>
        <v>4415</v>
      </c>
      <c r="U122" s="3">
        <f t="shared" si="46"/>
        <v>3415</v>
      </c>
      <c r="V122" s="3">
        <f t="shared" si="44"/>
        <v>3415</v>
      </c>
      <c r="W122" s="3">
        <v>2000</v>
      </c>
      <c r="X122" s="3">
        <f t="shared" si="45"/>
        <v>1000</v>
      </c>
      <c r="Y122" s="10">
        <f t="shared" si="48"/>
        <v>1</v>
      </c>
      <c r="Z122" s="4"/>
      <c r="AA122" s="4"/>
      <c r="AB122" s="5"/>
      <c r="AC122" s="5"/>
      <c r="AD122" s="5"/>
      <c r="AE122" s="5"/>
    </row>
    <row r="123" spans="1:31" ht="15.75" customHeight="1" x14ac:dyDescent="0.25">
      <c r="A123" s="5" t="s">
        <v>127</v>
      </c>
      <c r="B123" s="3">
        <v>27668.44</v>
      </c>
      <c r="C123" s="3">
        <v>30880</v>
      </c>
      <c r="D123" s="3">
        <v>29956.09</v>
      </c>
      <c r="E123" s="3">
        <v>25518.35</v>
      </c>
      <c r="F123" s="3">
        <v>18109.57</v>
      </c>
      <c r="G123" s="3">
        <v>16865.77</v>
      </c>
      <c r="H123" s="3">
        <v>18110.599999999999</v>
      </c>
      <c r="I123" s="3">
        <v>18940.43</v>
      </c>
      <c r="J123" s="3">
        <v>16067.75</v>
      </c>
      <c r="K123" s="3">
        <v>14423.82</v>
      </c>
      <c r="L123" s="3">
        <v>19711.72</v>
      </c>
      <c r="M123" s="3">
        <v>24910.76</v>
      </c>
      <c r="N123" s="3">
        <v>19851</v>
      </c>
      <c r="O123" s="52">
        <v>17936.189999999999</v>
      </c>
      <c r="P123" s="3">
        <v>23000</v>
      </c>
      <c r="Q123" s="42">
        <v>23000</v>
      </c>
      <c r="R123" s="42">
        <v>10713.81</v>
      </c>
      <c r="S123" s="3">
        <f>5400+1725</f>
        <v>7125</v>
      </c>
      <c r="T123" s="3">
        <f t="shared" si="43"/>
        <v>17838.809999999998</v>
      </c>
      <c r="U123" s="3">
        <f t="shared" si="46"/>
        <v>-5161.1900000000023</v>
      </c>
      <c r="V123" s="3">
        <f t="shared" si="44"/>
        <v>-5161.1900000000023</v>
      </c>
      <c r="W123" s="3">
        <v>22000</v>
      </c>
      <c r="X123" s="3">
        <f t="shared" si="45"/>
        <v>-1000</v>
      </c>
      <c r="Y123" s="10">
        <f t="shared" si="48"/>
        <v>-4.3478260869565216E-2</v>
      </c>
      <c r="Z123" s="4"/>
      <c r="AA123" s="4"/>
      <c r="AB123" s="5"/>
      <c r="AC123" s="5"/>
      <c r="AD123" s="5"/>
      <c r="AE123" s="5"/>
    </row>
    <row r="124" spans="1:31" ht="15.75" customHeight="1" x14ac:dyDescent="0.25">
      <c r="A124" s="5" t="s">
        <v>128</v>
      </c>
      <c r="B124" s="3">
        <v>5013.74</v>
      </c>
      <c r="C124" s="3">
        <v>4138</v>
      </c>
      <c r="D124" s="3">
        <v>4513.95</v>
      </c>
      <c r="E124" s="3">
        <v>5062.3</v>
      </c>
      <c r="F124" s="3">
        <v>4701.53</v>
      </c>
      <c r="G124" s="3">
        <v>4230.3599999999997</v>
      </c>
      <c r="H124" s="3">
        <v>4706.17</v>
      </c>
      <c r="I124" s="3">
        <v>5313.24</v>
      </c>
      <c r="J124" s="3">
        <v>4165.3</v>
      </c>
      <c r="K124" s="3">
        <v>4372.6099999999997</v>
      </c>
      <c r="L124" s="3">
        <v>4499.08</v>
      </c>
      <c r="M124" s="3">
        <v>4989.0200000000004</v>
      </c>
      <c r="N124" s="3">
        <v>5135</v>
      </c>
      <c r="O124" s="52">
        <v>5508.45</v>
      </c>
      <c r="P124" s="3">
        <v>7100</v>
      </c>
      <c r="Q124" s="42">
        <v>7100</v>
      </c>
      <c r="R124" s="42">
        <v>3131.79</v>
      </c>
      <c r="S124" s="3">
        <f>650*4</f>
        <v>2600</v>
      </c>
      <c r="T124" s="3">
        <f t="shared" si="43"/>
        <v>5731.79</v>
      </c>
      <c r="U124" s="3">
        <f t="shared" si="46"/>
        <v>-1368.21</v>
      </c>
      <c r="V124" s="3">
        <f t="shared" si="44"/>
        <v>-1368.21</v>
      </c>
      <c r="W124" s="3">
        <v>6200</v>
      </c>
      <c r="X124" s="3">
        <f t="shared" si="45"/>
        <v>-900</v>
      </c>
      <c r="Y124" s="10">
        <f t="shared" si="48"/>
        <v>-0.12676056338028169</v>
      </c>
      <c r="Z124" s="4" t="s">
        <v>129</v>
      </c>
      <c r="AA124" s="4"/>
      <c r="AB124" s="5"/>
      <c r="AC124" s="5"/>
      <c r="AD124" s="5"/>
      <c r="AE124" s="5"/>
    </row>
    <row r="125" spans="1:31" ht="15.75" customHeight="1" x14ac:dyDescent="0.25">
      <c r="A125" s="5" t="s">
        <v>456</v>
      </c>
      <c r="B125" s="3">
        <v>6320.04</v>
      </c>
      <c r="C125" s="3">
        <v>5804</v>
      </c>
      <c r="D125" s="3">
        <v>5761.46</v>
      </c>
      <c r="E125" s="3">
        <v>3948.93</v>
      </c>
      <c r="F125" s="3">
        <v>8423.7199999999993</v>
      </c>
      <c r="G125" s="3">
        <v>7600.84</v>
      </c>
      <c r="H125" s="3">
        <v>18037.68</v>
      </c>
      <c r="I125" s="3">
        <v>8885.16</v>
      </c>
      <c r="J125" s="3">
        <v>9999.9500000000007</v>
      </c>
      <c r="K125" s="3">
        <v>11525.77</v>
      </c>
      <c r="L125" s="3">
        <v>8430.92</v>
      </c>
      <c r="M125" s="3">
        <v>11314.02</v>
      </c>
      <c r="N125" s="3">
        <v>13834</v>
      </c>
      <c r="O125" s="52">
        <v>14346.38</v>
      </c>
      <c r="P125" s="3">
        <v>19000</v>
      </c>
      <c r="Q125" s="42">
        <v>15000</v>
      </c>
      <c r="R125" s="42">
        <v>10391.280000000001</v>
      </c>
      <c r="S125" s="3">
        <f>1600+1700</f>
        <v>3300</v>
      </c>
      <c r="T125" s="3">
        <f t="shared" si="43"/>
        <v>13691.28</v>
      </c>
      <c r="U125" s="3">
        <f t="shared" si="46"/>
        <v>-5308.7199999999993</v>
      </c>
      <c r="V125" s="3">
        <f t="shared" si="44"/>
        <v>-1308.7199999999993</v>
      </c>
      <c r="W125" s="3">
        <f>19000-3600</f>
        <v>15400</v>
      </c>
      <c r="X125" s="3">
        <f t="shared" si="45"/>
        <v>-3600</v>
      </c>
      <c r="Y125" s="10">
        <f t="shared" si="48"/>
        <v>-0.18947368421052632</v>
      </c>
      <c r="Z125" s="4"/>
      <c r="AA125" s="4"/>
      <c r="AB125" s="5"/>
      <c r="AC125" s="5"/>
      <c r="AD125" s="5"/>
      <c r="AE125" s="5"/>
    </row>
    <row r="126" spans="1:31" ht="15.75" customHeight="1" x14ac:dyDescent="0.25">
      <c r="A126" s="5" t="s">
        <v>130</v>
      </c>
      <c r="B126" s="3"/>
      <c r="C126" s="3"/>
      <c r="D126" s="3"/>
      <c r="E126" s="3"/>
      <c r="F126" s="3"/>
      <c r="G126" s="3">
        <v>130</v>
      </c>
      <c r="H126" s="3">
        <v>65</v>
      </c>
      <c r="I126" s="3"/>
      <c r="J126" s="3"/>
      <c r="K126" s="3"/>
      <c r="L126" s="3"/>
      <c r="M126" s="3"/>
      <c r="N126" s="3">
        <v>1316</v>
      </c>
      <c r="O126" s="52">
        <v>718</v>
      </c>
      <c r="P126" s="3">
        <v>4000</v>
      </c>
      <c r="Q126" s="42">
        <v>4000</v>
      </c>
      <c r="R126" s="42">
        <v>250</v>
      </c>
      <c r="S126" s="3">
        <v>0</v>
      </c>
      <c r="T126" s="3">
        <f t="shared" si="43"/>
        <v>250</v>
      </c>
      <c r="U126" s="3">
        <f t="shared" si="46"/>
        <v>-3750</v>
      </c>
      <c r="V126" s="3">
        <f t="shared" si="44"/>
        <v>-3750</v>
      </c>
      <c r="W126" s="3">
        <v>2500</v>
      </c>
      <c r="X126" s="3">
        <f t="shared" si="45"/>
        <v>-1500</v>
      </c>
      <c r="Y126" s="10">
        <f t="shared" si="48"/>
        <v>-0.375</v>
      </c>
      <c r="Z126" s="4"/>
      <c r="AA126" s="4"/>
      <c r="AB126" s="5"/>
      <c r="AC126" s="5"/>
      <c r="AD126" s="5"/>
      <c r="AE126" s="5"/>
    </row>
    <row r="127" spans="1:31" ht="15.75" customHeight="1" x14ac:dyDescent="0.25">
      <c r="A127" s="5" t="s">
        <v>131</v>
      </c>
      <c r="B127" s="3">
        <v>2533.75</v>
      </c>
      <c r="C127" s="3">
        <v>580.54</v>
      </c>
      <c r="D127" s="3">
        <v>1535.49</v>
      </c>
      <c r="E127" s="3">
        <v>1444.47</v>
      </c>
      <c r="F127" s="3">
        <v>1173.3</v>
      </c>
      <c r="G127" s="3">
        <v>1483.85</v>
      </c>
      <c r="H127" s="3">
        <v>3903.83</v>
      </c>
      <c r="I127" s="3">
        <v>8660.81</v>
      </c>
      <c r="J127" s="3">
        <v>1283.6600000000001</v>
      </c>
      <c r="K127" s="3">
        <v>2387.02</v>
      </c>
      <c r="L127" s="3">
        <v>4615.1899999999996</v>
      </c>
      <c r="M127" s="3">
        <v>1372.29</v>
      </c>
      <c r="N127" s="3">
        <v>3207</v>
      </c>
      <c r="O127" s="52">
        <v>2414.4</v>
      </c>
      <c r="P127" s="3">
        <v>2000</v>
      </c>
      <c r="Q127" s="42">
        <v>2000</v>
      </c>
      <c r="R127" s="42">
        <v>1523.96</v>
      </c>
      <c r="S127" s="3">
        <v>490</v>
      </c>
      <c r="T127" s="3">
        <f t="shared" si="43"/>
        <v>2013.96</v>
      </c>
      <c r="U127" s="3">
        <f t="shared" si="46"/>
        <v>13.960000000000036</v>
      </c>
      <c r="V127" s="3">
        <f t="shared" si="44"/>
        <v>13.960000000000036</v>
      </c>
      <c r="W127" s="3">
        <v>2000</v>
      </c>
      <c r="X127" s="3">
        <f t="shared" si="45"/>
        <v>0</v>
      </c>
      <c r="Y127" s="10">
        <f t="shared" si="48"/>
        <v>0</v>
      </c>
      <c r="Z127" s="4" t="s">
        <v>129</v>
      </c>
      <c r="AA127" s="4"/>
      <c r="AB127" s="5"/>
      <c r="AC127" s="5"/>
      <c r="AD127" s="5"/>
      <c r="AE127" s="5"/>
    </row>
    <row r="128" spans="1:31" ht="15.75" customHeight="1" x14ac:dyDescent="0.25">
      <c r="A128" s="5" t="s">
        <v>132</v>
      </c>
      <c r="B128" s="3">
        <v>1369.41</v>
      </c>
      <c r="C128" s="3">
        <v>1387</v>
      </c>
      <c r="D128" s="3">
        <v>3822.1</v>
      </c>
      <c r="E128" s="3">
        <v>2465.85</v>
      </c>
      <c r="F128" s="3">
        <v>2285</v>
      </c>
      <c r="G128" s="3">
        <v>2070.25</v>
      </c>
      <c r="H128" s="3">
        <v>1787.6</v>
      </c>
      <c r="I128" s="3">
        <v>2307.6999999999998</v>
      </c>
      <c r="J128" s="3">
        <v>2430</v>
      </c>
      <c r="K128" s="3">
        <v>2462</v>
      </c>
      <c r="L128" s="3">
        <v>3782.39</v>
      </c>
      <c r="M128" s="3">
        <v>219</v>
      </c>
      <c r="N128" s="3">
        <v>2425</v>
      </c>
      <c r="O128" s="52">
        <v>3483.68</v>
      </c>
      <c r="P128" s="3">
        <v>4000</v>
      </c>
      <c r="Q128" s="42">
        <v>4000</v>
      </c>
      <c r="R128" s="42">
        <v>2511.84</v>
      </c>
      <c r="S128" s="3">
        <v>0</v>
      </c>
      <c r="T128" s="3">
        <f t="shared" si="43"/>
        <v>2511.84</v>
      </c>
      <c r="U128" s="3">
        <f t="shared" si="46"/>
        <v>-1488.1599999999999</v>
      </c>
      <c r="V128" s="3">
        <f t="shared" si="44"/>
        <v>-1488.1599999999999</v>
      </c>
      <c r="W128" s="3">
        <v>4000</v>
      </c>
      <c r="X128" s="3">
        <f t="shared" si="45"/>
        <v>0</v>
      </c>
      <c r="Y128" s="10">
        <f t="shared" si="48"/>
        <v>0</v>
      </c>
      <c r="Z128" s="4"/>
      <c r="AA128" s="4"/>
      <c r="AB128" s="5"/>
      <c r="AC128" s="5"/>
      <c r="AD128" s="5"/>
      <c r="AE128" s="5"/>
    </row>
    <row r="129" spans="1:31" ht="15.75" customHeight="1" x14ac:dyDescent="0.25">
      <c r="A129" s="5" t="s">
        <v>133</v>
      </c>
      <c r="B129" s="3">
        <v>600.55999999999995</v>
      </c>
      <c r="C129" s="3"/>
      <c r="D129" s="3"/>
      <c r="E129" s="3">
        <v>331.94</v>
      </c>
      <c r="F129" s="3">
        <v>340.73</v>
      </c>
      <c r="G129" s="3"/>
      <c r="H129" s="3">
        <v>343.79</v>
      </c>
      <c r="I129" s="3"/>
      <c r="J129" s="3">
        <v>144.07</v>
      </c>
      <c r="K129" s="3"/>
      <c r="L129" s="3"/>
      <c r="M129" s="3"/>
      <c r="N129" s="3">
        <v>50</v>
      </c>
      <c r="O129" s="52">
        <v>349.83</v>
      </c>
      <c r="P129" s="3">
        <v>400</v>
      </c>
      <c r="Q129" s="42">
        <v>400</v>
      </c>
      <c r="R129" s="42">
        <v>198.34</v>
      </c>
      <c r="S129" s="3">
        <v>0</v>
      </c>
      <c r="T129" s="3">
        <f t="shared" si="43"/>
        <v>198.34</v>
      </c>
      <c r="U129" s="3">
        <f t="shared" si="46"/>
        <v>-201.66</v>
      </c>
      <c r="V129" s="3">
        <f t="shared" si="44"/>
        <v>-201.66</v>
      </c>
      <c r="W129" s="3">
        <v>400</v>
      </c>
      <c r="X129" s="3">
        <f t="shared" si="45"/>
        <v>0</v>
      </c>
      <c r="Y129" s="10">
        <f t="shared" si="48"/>
        <v>0</v>
      </c>
      <c r="Z129" s="4"/>
      <c r="AA129" s="4"/>
      <c r="AB129" s="5"/>
      <c r="AC129" s="5"/>
      <c r="AD129" s="5"/>
      <c r="AE129" s="5"/>
    </row>
    <row r="130" spans="1:31" ht="15.75" hidden="1" customHeight="1" x14ac:dyDescent="0.25">
      <c r="A130" s="5" t="s">
        <v>134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52"/>
      <c r="P130" s="3"/>
      <c r="Q130" s="42"/>
      <c r="R130" s="42"/>
      <c r="S130" s="3"/>
      <c r="T130" s="3">
        <f t="shared" si="43"/>
        <v>0</v>
      </c>
      <c r="U130" s="3">
        <f t="shared" si="46"/>
        <v>0</v>
      </c>
      <c r="V130" s="3">
        <f t="shared" si="44"/>
        <v>0</v>
      </c>
      <c r="W130" s="3"/>
      <c r="X130" s="3">
        <f t="shared" si="45"/>
        <v>0</v>
      </c>
      <c r="Y130" s="10" t="e">
        <f t="shared" si="48"/>
        <v>#DIV/0!</v>
      </c>
      <c r="Z130" s="4"/>
      <c r="AA130" s="4"/>
      <c r="AB130" s="5"/>
      <c r="AC130" s="5"/>
      <c r="AD130" s="5"/>
      <c r="AE130" s="5"/>
    </row>
    <row r="131" spans="1:31" ht="15.75" customHeight="1" x14ac:dyDescent="0.25">
      <c r="A131" s="5" t="s">
        <v>135</v>
      </c>
      <c r="B131" s="3">
        <v>343.9</v>
      </c>
      <c r="C131" s="3">
        <v>150</v>
      </c>
      <c r="D131" s="3"/>
      <c r="E131" s="3">
        <v>246.6</v>
      </c>
      <c r="F131" s="3">
        <v>308.45</v>
      </c>
      <c r="G131" s="3"/>
      <c r="H131" s="3">
        <v>323</v>
      </c>
      <c r="I131" s="3"/>
      <c r="J131" s="3">
        <v>403.15</v>
      </c>
      <c r="K131" s="3">
        <v>203.75</v>
      </c>
      <c r="L131" s="3"/>
      <c r="M131" s="3"/>
      <c r="N131" s="3">
        <v>0</v>
      </c>
      <c r="O131" s="52">
        <v>0</v>
      </c>
      <c r="P131" s="3">
        <v>100</v>
      </c>
      <c r="Q131" s="42">
        <v>100</v>
      </c>
      <c r="R131" s="42">
        <v>0</v>
      </c>
      <c r="S131" s="3">
        <v>0</v>
      </c>
      <c r="T131" s="3">
        <f t="shared" si="43"/>
        <v>0</v>
      </c>
      <c r="U131" s="3">
        <f t="shared" si="46"/>
        <v>-100</v>
      </c>
      <c r="V131" s="3">
        <f t="shared" si="44"/>
        <v>-100</v>
      </c>
      <c r="W131" s="3">
        <v>100</v>
      </c>
      <c r="X131" s="3">
        <f t="shared" si="45"/>
        <v>0</v>
      </c>
      <c r="Y131" s="10">
        <f t="shared" si="48"/>
        <v>0</v>
      </c>
      <c r="Z131" s="4"/>
      <c r="AA131" s="4"/>
      <c r="AB131" s="5"/>
      <c r="AC131" s="5"/>
      <c r="AD131" s="5"/>
      <c r="AE131" s="5"/>
    </row>
    <row r="132" spans="1:31" ht="15.75" customHeight="1" x14ac:dyDescent="0.25">
      <c r="A132" s="5" t="s">
        <v>136</v>
      </c>
      <c r="B132" s="3">
        <v>12961.85</v>
      </c>
      <c r="C132" s="3">
        <v>4149</v>
      </c>
      <c r="D132" s="3">
        <v>7230.74</v>
      </c>
      <c r="E132" s="3">
        <v>9808.8799999999992</v>
      </c>
      <c r="F132" s="3">
        <v>8142.84</v>
      </c>
      <c r="G132" s="3">
        <v>14533.52</v>
      </c>
      <c r="H132" s="3">
        <v>8795.56</v>
      </c>
      <c r="I132" s="3">
        <v>8209.8799999999992</v>
      </c>
      <c r="J132" s="3">
        <v>5617.07</v>
      </c>
      <c r="K132" s="3">
        <v>7139.96</v>
      </c>
      <c r="L132" s="3">
        <v>7800.85</v>
      </c>
      <c r="M132" s="3">
        <v>8899.4</v>
      </c>
      <c r="N132" s="3">
        <v>12523</v>
      </c>
      <c r="O132" s="52">
        <v>9225.9500000000007</v>
      </c>
      <c r="P132" s="3">
        <v>9000</v>
      </c>
      <c r="Q132" s="42">
        <v>13000</v>
      </c>
      <c r="R132" s="42">
        <v>9660.99</v>
      </c>
      <c r="S132" s="3">
        <v>3339</v>
      </c>
      <c r="T132" s="3">
        <f t="shared" si="43"/>
        <v>12999.99</v>
      </c>
      <c r="U132" s="3">
        <f t="shared" si="46"/>
        <v>3999.99</v>
      </c>
      <c r="V132" s="3">
        <f t="shared" si="44"/>
        <v>-1.0000000000218279E-2</v>
      </c>
      <c r="W132" s="3">
        <v>9000</v>
      </c>
      <c r="X132" s="3">
        <f t="shared" si="45"/>
        <v>0</v>
      </c>
      <c r="Y132" s="10">
        <f t="shared" si="48"/>
        <v>0</v>
      </c>
      <c r="Z132" s="4" t="s">
        <v>129</v>
      </c>
      <c r="AA132" s="4"/>
      <c r="AB132" s="5"/>
      <c r="AC132" s="5"/>
      <c r="AD132" s="5"/>
      <c r="AE132" s="5"/>
    </row>
    <row r="133" spans="1:31" ht="15.75" customHeight="1" x14ac:dyDescent="0.25">
      <c r="A133" s="5" t="s">
        <v>137</v>
      </c>
      <c r="B133" s="3">
        <v>3041.64</v>
      </c>
      <c r="C133" s="3">
        <v>817</v>
      </c>
      <c r="D133" s="3">
        <v>604.94000000000005</v>
      </c>
      <c r="E133" s="3">
        <v>1697.94</v>
      </c>
      <c r="F133" s="3">
        <v>6350.23</v>
      </c>
      <c r="G133" s="3">
        <v>1979</v>
      </c>
      <c r="H133" s="3">
        <v>1758.96</v>
      </c>
      <c r="I133" s="3">
        <v>2194.46</v>
      </c>
      <c r="J133" s="3">
        <v>3354</v>
      </c>
      <c r="K133" s="3">
        <v>604.91</v>
      </c>
      <c r="L133" s="3">
        <v>1007.92</v>
      </c>
      <c r="M133" s="3">
        <v>1302</v>
      </c>
      <c r="N133" s="3">
        <v>985</v>
      </c>
      <c r="O133" s="52">
        <v>938</v>
      </c>
      <c r="P133" s="3">
        <v>1500</v>
      </c>
      <c r="Q133" s="42">
        <v>1500</v>
      </c>
      <c r="R133" s="42">
        <v>99</v>
      </c>
      <c r="S133" s="3">
        <v>0</v>
      </c>
      <c r="T133" s="3">
        <f t="shared" si="43"/>
        <v>99</v>
      </c>
      <c r="U133" s="3">
        <f t="shared" si="46"/>
        <v>-1401</v>
      </c>
      <c r="V133" s="3">
        <f t="shared" si="44"/>
        <v>-1401</v>
      </c>
      <c r="W133" s="3">
        <v>1500</v>
      </c>
      <c r="X133" s="3">
        <f t="shared" si="45"/>
        <v>0</v>
      </c>
      <c r="Y133" s="10">
        <f t="shared" si="48"/>
        <v>0</v>
      </c>
      <c r="Z133" s="4"/>
      <c r="AA133" s="4"/>
      <c r="AB133" s="5"/>
      <c r="AC133" s="5"/>
      <c r="AD133" s="5"/>
      <c r="AE133" s="5"/>
    </row>
    <row r="134" spans="1:31" ht="15.75" customHeight="1" x14ac:dyDescent="0.25">
      <c r="A134" s="5" t="s">
        <v>138</v>
      </c>
      <c r="B134" s="3">
        <v>15412.11</v>
      </c>
      <c r="C134" s="3">
        <v>16587</v>
      </c>
      <c r="D134" s="3">
        <v>13168.74</v>
      </c>
      <c r="E134" s="3">
        <v>10389.56</v>
      </c>
      <c r="F134" s="3">
        <v>10472.1</v>
      </c>
      <c r="G134" s="3">
        <v>10021.040000000001</v>
      </c>
      <c r="H134" s="3">
        <v>11275.12</v>
      </c>
      <c r="I134" s="3">
        <v>13646.96</v>
      </c>
      <c r="J134" s="3">
        <v>12406.42</v>
      </c>
      <c r="K134" s="3">
        <v>12055.28</v>
      </c>
      <c r="L134" s="3">
        <v>14230.63</v>
      </c>
      <c r="M134" s="3">
        <v>12763.16</v>
      </c>
      <c r="N134" s="3">
        <v>8320</v>
      </c>
      <c r="O134" s="52">
        <v>5735.99</v>
      </c>
      <c r="P134" s="3">
        <v>10000</v>
      </c>
      <c r="Q134" s="42">
        <v>18100</v>
      </c>
      <c r="R134" s="42">
        <v>11720.81</v>
      </c>
      <c r="S134" s="3">
        <f>+Q134-R134</f>
        <v>6379.1900000000005</v>
      </c>
      <c r="T134" s="3">
        <f t="shared" si="43"/>
        <v>18100</v>
      </c>
      <c r="U134" s="3">
        <f t="shared" si="46"/>
        <v>8100</v>
      </c>
      <c r="V134" s="3">
        <f t="shared" si="44"/>
        <v>0</v>
      </c>
      <c r="W134" s="3">
        <v>10000</v>
      </c>
      <c r="X134" s="3">
        <f t="shared" si="45"/>
        <v>0</v>
      </c>
      <c r="Y134" s="10">
        <f t="shared" si="48"/>
        <v>0</v>
      </c>
      <c r="Z134" s="4"/>
      <c r="AA134" s="4"/>
      <c r="AB134" s="5"/>
      <c r="AC134" s="5"/>
      <c r="AD134" s="5"/>
      <c r="AE134" s="5"/>
    </row>
    <row r="135" spans="1:31" ht="15.75" hidden="1" customHeight="1" x14ac:dyDescent="0.25">
      <c r="A135" s="5" t="s">
        <v>139</v>
      </c>
      <c r="B135" s="3"/>
      <c r="C135" s="3">
        <v>645.55999999999995</v>
      </c>
      <c r="D135" s="3">
        <v>550.72</v>
      </c>
      <c r="E135" s="3">
        <v>445.31</v>
      </c>
      <c r="F135" s="3">
        <v>1144.74</v>
      </c>
      <c r="G135" s="3">
        <v>721.96</v>
      </c>
      <c r="H135" s="3">
        <v>75.33</v>
      </c>
      <c r="I135" s="3"/>
      <c r="J135" s="3"/>
      <c r="K135" s="3"/>
      <c r="L135" s="3"/>
      <c r="M135" s="3"/>
      <c r="N135" s="3"/>
      <c r="O135" s="52"/>
      <c r="P135" s="3"/>
      <c r="Q135" s="42"/>
      <c r="R135" s="42"/>
      <c r="S135" s="3"/>
      <c r="T135" s="3">
        <f t="shared" si="43"/>
        <v>0</v>
      </c>
      <c r="U135" s="3">
        <f t="shared" si="46"/>
        <v>0</v>
      </c>
      <c r="V135" s="3">
        <f t="shared" si="44"/>
        <v>0</v>
      </c>
      <c r="W135" s="3"/>
      <c r="X135" s="3">
        <f t="shared" si="45"/>
        <v>0</v>
      </c>
      <c r="Y135" s="10" t="e">
        <f t="shared" si="48"/>
        <v>#DIV/0!</v>
      </c>
      <c r="Z135" s="4"/>
      <c r="AA135" s="4"/>
      <c r="AB135" s="5"/>
      <c r="AC135" s="5"/>
      <c r="AD135" s="5"/>
      <c r="AE135" s="5"/>
    </row>
    <row r="136" spans="1:31" ht="15.75" customHeight="1" x14ac:dyDescent="0.25">
      <c r="A136" s="5" t="s">
        <v>140</v>
      </c>
      <c r="B136" s="3">
        <v>324.25</v>
      </c>
      <c r="C136" s="3">
        <v>499</v>
      </c>
      <c r="D136" s="3"/>
      <c r="E136" s="3">
        <v>95</v>
      </c>
      <c r="F136" s="3">
        <v>383.05</v>
      </c>
      <c r="G136" s="3">
        <v>137.38</v>
      </c>
      <c r="H136" s="3">
        <v>777.39</v>
      </c>
      <c r="I136" s="3">
        <v>703.7</v>
      </c>
      <c r="J136" s="3">
        <v>290.39999999999998</v>
      </c>
      <c r="K136" s="3">
        <v>552.1</v>
      </c>
      <c r="L136" s="3">
        <v>318.3</v>
      </c>
      <c r="M136" s="3">
        <v>219.85</v>
      </c>
      <c r="N136" s="3">
        <v>96</v>
      </c>
      <c r="O136" s="52">
        <v>120.92</v>
      </c>
      <c r="P136" s="3">
        <v>500</v>
      </c>
      <c r="Q136" s="42">
        <v>500</v>
      </c>
      <c r="R136" s="42">
        <v>181.4</v>
      </c>
      <c r="S136" s="3">
        <v>0</v>
      </c>
      <c r="T136" s="3">
        <f t="shared" si="43"/>
        <v>181.4</v>
      </c>
      <c r="U136" s="3">
        <f t="shared" si="46"/>
        <v>-318.60000000000002</v>
      </c>
      <c r="V136" s="3">
        <f t="shared" si="44"/>
        <v>-318.60000000000002</v>
      </c>
      <c r="W136" s="3">
        <v>500</v>
      </c>
      <c r="X136" s="3">
        <f t="shared" si="45"/>
        <v>0</v>
      </c>
      <c r="Y136" s="10">
        <f t="shared" si="48"/>
        <v>0</v>
      </c>
      <c r="Z136" s="4"/>
      <c r="AA136" s="4"/>
      <c r="AB136" s="5"/>
      <c r="AC136" s="5"/>
      <c r="AD136" s="5"/>
      <c r="AE136" s="5"/>
    </row>
    <row r="137" spans="1:31" ht="15.75" customHeight="1" x14ac:dyDescent="0.25">
      <c r="A137" s="5" t="s">
        <v>141</v>
      </c>
      <c r="B137" s="3">
        <v>1964.68</v>
      </c>
      <c r="C137" s="3">
        <v>1964</v>
      </c>
      <c r="D137" s="3">
        <v>1252.1099999999999</v>
      </c>
      <c r="E137" s="3">
        <v>2396.9499999999998</v>
      </c>
      <c r="F137" s="3">
        <v>1450.88</v>
      </c>
      <c r="G137" s="3">
        <v>2769</v>
      </c>
      <c r="H137" s="3">
        <v>2418.56</v>
      </c>
      <c r="I137" s="3">
        <v>7696.9</v>
      </c>
      <c r="J137" s="3">
        <v>1620.12</v>
      </c>
      <c r="K137" s="3">
        <v>5070.6000000000004</v>
      </c>
      <c r="L137" s="3">
        <v>8231.18</v>
      </c>
      <c r="M137" s="3">
        <v>4960.29</v>
      </c>
      <c r="N137" s="3">
        <v>7207</v>
      </c>
      <c r="O137" s="52">
        <v>6546.04</v>
      </c>
      <c r="P137" s="3">
        <v>7500</v>
      </c>
      <c r="Q137" s="42">
        <v>7500</v>
      </c>
      <c r="R137" s="42">
        <v>5461.51</v>
      </c>
      <c r="S137" s="3">
        <v>0</v>
      </c>
      <c r="T137" s="3">
        <f t="shared" si="43"/>
        <v>5461.51</v>
      </c>
      <c r="U137" s="3">
        <f t="shared" si="46"/>
        <v>-2038.4899999999998</v>
      </c>
      <c r="V137" s="3">
        <f t="shared" si="44"/>
        <v>-2038.4899999999998</v>
      </c>
      <c r="W137" s="3">
        <v>7500</v>
      </c>
      <c r="X137" s="3">
        <f t="shared" si="45"/>
        <v>0</v>
      </c>
      <c r="Y137" s="10">
        <f t="shared" si="48"/>
        <v>0</v>
      </c>
      <c r="Z137" s="4"/>
      <c r="AA137" s="4"/>
      <c r="AB137" s="5"/>
      <c r="AC137" s="5"/>
      <c r="AD137" s="5"/>
      <c r="AE137" s="5"/>
    </row>
    <row r="138" spans="1:31" ht="15.75" customHeight="1" x14ac:dyDescent="0.25">
      <c r="A138" s="5" t="s">
        <v>142</v>
      </c>
      <c r="B138" s="3">
        <v>200</v>
      </c>
      <c r="C138" s="3">
        <v>200</v>
      </c>
      <c r="D138" s="3">
        <v>200</v>
      </c>
      <c r="E138" s="3">
        <v>200</v>
      </c>
      <c r="F138" s="3">
        <v>200</v>
      </c>
      <c r="G138" s="3">
        <v>200</v>
      </c>
      <c r="H138" s="3">
        <v>200</v>
      </c>
      <c r="I138" s="3">
        <v>200</v>
      </c>
      <c r="J138" s="3">
        <v>600</v>
      </c>
      <c r="K138" s="3">
        <v>200</v>
      </c>
      <c r="L138" s="3">
        <v>200</v>
      </c>
      <c r="M138" s="3">
        <v>200</v>
      </c>
      <c r="N138" s="3">
        <v>200</v>
      </c>
      <c r="O138" s="52">
        <v>3000</v>
      </c>
      <c r="P138" s="3">
        <v>3750</v>
      </c>
      <c r="Q138" s="42">
        <v>3750</v>
      </c>
      <c r="R138" s="42">
        <v>0</v>
      </c>
      <c r="S138" s="3">
        <v>3200</v>
      </c>
      <c r="T138" s="3">
        <f t="shared" si="43"/>
        <v>3200</v>
      </c>
      <c r="U138" s="3">
        <f t="shared" si="46"/>
        <v>-550</v>
      </c>
      <c r="V138" s="3">
        <f t="shared" si="44"/>
        <v>-550</v>
      </c>
      <c r="W138" s="3">
        <v>3750</v>
      </c>
      <c r="X138" s="3">
        <f t="shared" si="45"/>
        <v>0</v>
      </c>
      <c r="Y138" s="10">
        <f t="shared" si="48"/>
        <v>0</v>
      </c>
      <c r="Z138" s="4"/>
      <c r="AA138" s="4"/>
      <c r="AB138" s="5"/>
      <c r="AC138" s="5"/>
      <c r="AD138" s="5"/>
      <c r="AE138" s="5"/>
    </row>
    <row r="139" spans="1:31" ht="15.75" customHeight="1" x14ac:dyDescent="0.25">
      <c r="A139" s="5" t="s">
        <v>143</v>
      </c>
      <c r="B139" s="3"/>
      <c r="C139" s="3"/>
      <c r="D139" s="3"/>
      <c r="E139" s="3">
        <v>3370.5</v>
      </c>
      <c r="F139" s="3">
        <v>2244.6</v>
      </c>
      <c r="G139" s="3">
        <v>1733.76</v>
      </c>
      <c r="H139" s="3">
        <v>2311.6799999999998</v>
      </c>
      <c r="I139" s="3">
        <v>3467.52</v>
      </c>
      <c r="J139" s="3">
        <v>2451</v>
      </c>
      <c r="K139" s="3">
        <v>2451</v>
      </c>
      <c r="L139" s="3">
        <v>2418</v>
      </c>
      <c r="M139" s="3">
        <v>4145.74</v>
      </c>
      <c r="N139" s="3">
        <v>3107</v>
      </c>
      <c r="O139" s="52">
        <v>4584.84</v>
      </c>
      <c r="P139" s="3">
        <v>4000</v>
      </c>
      <c r="Q139" s="42">
        <v>4000</v>
      </c>
      <c r="R139" s="42">
        <v>0</v>
      </c>
      <c r="S139" s="3">
        <v>0</v>
      </c>
      <c r="T139" s="3">
        <f t="shared" si="43"/>
        <v>0</v>
      </c>
      <c r="U139" s="3">
        <f t="shared" si="46"/>
        <v>-4000</v>
      </c>
      <c r="V139" s="3">
        <f t="shared" si="44"/>
        <v>-4000</v>
      </c>
      <c r="W139" s="3">
        <v>4000</v>
      </c>
      <c r="X139" s="3">
        <f t="shared" si="45"/>
        <v>0</v>
      </c>
      <c r="Y139" s="10">
        <f t="shared" si="48"/>
        <v>0</v>
      </c>
      <c r="Z139" s="4"/>
      <c r="AA139" s="4"/>
      <c r="AB139" s="5"/>
      <c r="AC139" s="5"/>
      <c r="AD139" s="5"/>
      <c r="AE139" s="5"/>
    </row>
    <row r="140" spans="1:31" ht="15.75" hidden="1" customHeight="1" x14ac:dyDescent="0.25">
      <c r="A140" s="5" t="s">
        <v>144</v>
      </c>
      <c r="B140" s="3"/>
      <c r="C140" s="3"/>
      <c r="D140" s="3"/>
      <c r="E140" s="3"/>
      <c r="F140" s="3"/>
      <c r="G140" s="3"/>
      <c r="H140" s="3"/>
      <c r="I140" s="3"/>
      <c r="J140" s="3">
        <v>310</v>
      </c>
      <c r="K140" s="3"/>
      <c r="L140" s="3"/>
      <c r="M140" s="3"/>
      <c r="N140" s="3"/>
      <c r="O140" s="52"/>
      <c r="P140" s="3"/>
      <c r="Q140" s="42"/>
      <c r="R140" s="42"/>
      <c r="S140" s="3"/>
      <c r="T140" s="3">
        <f t="shared" si="43"/>
        <v>0</v>
      </c>
      <c r="U140" s="3">
        <f t="shared" si="46"/>
        <v>0</v>
      </c>
      <c r="V140" s="3">
        <f t="shared" si="44"/>
        <v>0</v>
      </c>
      <c r="W140" s="3"/>
      <c r="X140" s="3">
        <f t="shared" si="45"/>
        <v>0</v>
      </c>
      <c r="Y140" s="10" t="e">
        <f t="shared" si="48"/>
        <v>#DIV/0!</v>
      </c>
      <c r="Z140" s="4"/>
      <c r="AA140" s="4"/>
      <c r="AB140" s="5"/>
      <c r="AC140" s="5"/>
      <c r="AD140" s="5"/>
      <c r="AE140" s="5"/>
    </row>
    <row r="141" spans="1:31" ht="15.75" customHeight="1" x14ac:dyDescent="0.25">
      <c r="A141" s="5" t="s">
        <v>145</v>
      </c>
      <c r="B141" s="3">
        <v>517.20000000000005</v>
      </c>
      <c r="C141" s="3">
        <v>140</v>
      </c>
      <c r="D141" s="3">
        <v>200</v>
      </c>
      <c r="E141" s="3">
        <v>1270</v>
      </c>
      <c r="F141" s="3">
        <v>20956</v>
      </c>
      <c r="G141" s="3">
        <v>1197</v>
      </c>
      <c r="H141" s="3"/>
      <c r="I141" s="3"/>
      <c r="J141" s="3"/>
      <c r="K141" s="3"/>
      <c r="L141" s="3">
        <v>11672.96</v>
      </c>
      <c r="M141" s="3"/>
      <c r="N141" s="3">
        <v>0</v>
      </c>
      <c r="O141" s="52">
        <v>0</v>
      </c>
      <c r="P141" s="3">
        <v>500</v>
      </c>
      <c r="Q141" s="42">
        <v>500</v>
      </c>
      <c r="R141" s="42">
        <v>2473.52</v>
      </c>
      <c r="S141" s="3">
        <f>383*4</f>
        <v>1532</v>
      </c>
      <c r="T141" s="3">
        <f t="shared" si="43"/>
        <v>4005.52</v>
      </c>
      <c r="U141" s="3">
        <f t="shared" si="46"/>
        <v>3505.52</v>
      </c>
      <c r="V141" s="3">
        <f t="shared" si="44"/>
        <v>3505.52</v>
      </c>
      <c r="W141" s="3">
        <v>4100</v>
      </c>
      <c r="X141" s="3">
        <f t="shared" si="45"/>
        <v>3600</v>
      </c>
      <c r="Y141" s="10">
        <f t="shared" si="48"/>
        <v>7.2</v>
      </c>
      <c r="Z141" s="57" t="s">
        <v>424</v>
      </c>
      <c r="AA141" s="4"/>
      <c r="AB141" s="5"/>
      <c r="AC141" s="5"/>
      <c r="AD141" s="5"/>
      <c r="AE141" s="5"/>
    </row>
    <row r="142" spans="1:31" ht="15.75" customHeight="1" x14ac:dyDescent="0.25">
      <c r="A142" s="5" t="s">
        <v>146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52"/>
      <c r="P142" s="3"/>
      <c r="Q142" s="42"/>
      <c r="R142" s="42"/>
      <c r="S142" s="3"/>
      <c r="T142" s="3"/>
      <c r="U142" s="3">
        <f t="shared" si="46"/>
        <v>0</v>
      </c>
      <c r="V142" s="3">
        <f t="shared" si="44"/>
        <v>0</v>
      </c>
      <c r="W142" s="3"/>
      <c r="X142" s="3"/>
      <c r="Y142" s="10"/>
      <c r="Z142" s="4"/>
      <c r="AA142" s="4"/>
      <c r="AB142" s="5"/>
      <c r="AC142" s="5"/>
      <c r="AD142" s="5"/>
      <c r="AE142" s="5"/>
    </row>
    <row r="143" spans="1:31" ht="15.75" customHeight="1" x14ac:dyDescent="0.25">
      <c r="A143" s="5" t="s">
        <v>147</v>
      </c>
      <c r="B143" s="3">
        <v>95366.86</v>
      </c>
      <c r="C143" s="3">
        <v>93612.24</v>
      </c>
      <c r="D143" s="3">
        <v>53099.97</v>
      </c>
      <c r="E143" s="3">
        <v>12446.95</v>
      </c>
      <c r="F143" s="3">
        <v>9632.02</v>
      </c>
      <c r="G143" s="3">
        <v>7159.74</v>
      </c>
      <c r="H143" s="3">
        <v>5149.45</v>
      </c>
      <c r="I143" s="3">
        <v>15003.2</v>
      </c>
      <c r="J143" s="3">
        <v>22300.33</v>
      </c>
      <c r="K143" s="3">
        <v>26267.279999999999</v>
      </c>
      <c r="L143" s="3">
        <v>41213.5</v>
      </c>
      <c r="M143" s="3">
        <v>96549.39</v>
      </c>
      <c r="N143" s="3">
        <v>128145</v>
      </c>
      <c r="O143" s="52">
        <v>119834.51</v>
      </c>
      <c r="P143" s="3">
        <v>120000</v>
      </c>
      <c r="Q143" s="42">
        <v>142000</v>
      </c>
      <c r="R143" s="42">
        <v>141789.14000000001</v>
      </c>
      <c r="S143" s="3">
        <v>0</v>
      </c>
      <c r="T143" s="3">
        <f t="shared" ref="T143:T147" si="49">+R143+S143</f>
        <v>141789.14000000001</v>
      </c>
      <c r="U143" s="3">
        <f t="shared" si="46"/>
        <v>21789.140000000014</v>
      </c>
      <c r="V143" s="3">
        <f t="shared" si="44"/>
        <v>-210.85999999998603</v>
      </c>
      <c r="W143" s="3">
        <v>130000</v>
      </c>
      <c r="X143" s="3">
        <f>+W143-P143</f>
        <v>10000</v>
      </c>
      <c r="Y143" s="10">
        <f t="shared" ref="Y143:Y148" si="50">+X143/P143</f>
        <v>8.3333333333333329E-2</v>
      </c>
      <c r="Z143" s="4"/>
      <c r="AA143" s="4"/>
      <c r="AB143" s="5"/>
      <c r="AC143" s="5"/>
      <c r="AD143" s="5"/>
      <c r="AE143" s="5"/>
    </row>
    <row r="144" spans="1:31" ht="15.75" customHeight="1" x14ac:dyDescent="0.25">
      <c r="A144" s="5" t="s">
        <v>148</v>
      </c>
      <c r="B144" s="3">
        <v>468.39</v>
      </c>
      <c r="C144" s="3"/>
      <c r="D144" s="3"/>
      <c r="E144" s="3">
        <v>1958.14</v>
      </c>
      <c r="F144" s="3">
        <v>918</v>
      </c>
      <c r="G144" s="3">
        <v>495</v>
      </c>
      <c r="H144" s="3">
        <v>591.75</v>
      </c>
      <c r="I144" s="3">
        <v>400.96</v>
      </c>
      <c r="J144" s="3"/>
      <c r="K144" s="3">
        <v>14121.18</v>
      </c>
      <c r="L144" s="3"/>
      <c r="M144" s="3"/>
      <c r="N144" s="3">
        <v>0</v>
      </c>
      <c r="O144" s="52">
        <v>1926.61</v>
      </c>
      <c r="P144" s="3">
        <v>1000</v>
      </c>
      <c r="Q144" s="42">
        <v>1000</v>
      </c>
      <c r="R144" s="42">
        <v>0</v>
      </c>
      <c r="S144" s="3">
        <v>0</v>
      </c>
      <c r="T144" s="3">
        <f t="shared" si="49"/>
        <v>0</v>
      </c>
      <c r="U144" s="3">
        <f t="shared" si="46"/>
        <v>-1000</v>
      </c>
      <c r="V144" s="3">
        <f t="shared" si="44"/>
        <v>-1000</v>
      </c>
      <c r="W144" s="3">
        <v>1000</v>
      </c>
      <c r="X144" s="3">
        <f>+W144-P144</f>
        <v>0</v>
      </c>
      <c r="Y144" s="10">
        <f t="shared" si="50"/>
        <v>0</v>
      </c>
      <c r="Z144" s="4"/>
      <c r="AA144" s="4"/>
      <c r="AB144" s="5"/>
      <c r="AC144" s="5"/>
      <c r="AD144" s="5"/>
      <c r="AE144" s="5"/>
    </row>
    <row r="145" spans="1:31" ht="15.75" customHeight="1" x14ac:dyDescent="0.25">
      <c r="A145" s="5" t="s">
        <v>149</v>
      </c>
      <c r="B145" s="3">
        <v>1288.3900000000001</v>
      </c>
      <c r="C145" s="3">
        <v>2006.58</v>
      </c>
      <c r="D145" s="3">
        <v>1186.98</v>
      </c>
      <c r="E145" s="3">
        <v>530.51</v>
      </c>
      <c r="F145" s="3">
        <v>1738.51</v>
      </c>
      <c r="G145" s="3">
        <v>11690.14</v>
      </c>
      <c r="H145" s="3">
        <v>3100.9</v>
      </c>
      <c r="I145" s="3">
        <v>5216.93</v>
      </c>
      <c r="J145" s="3">
        <v>14206.68</v>
      </c>
      <c r="K145" s="3">
        <v>8212.9699999999993</v>
      </c>
      <c r="L145" s="3">
        <v>5372.01</v>
      </c>
      <c r="M145" s="3">
        <v>7543</v>
      </c>
      <c r="N145" s="3">
        <v>5601</v>
      </c>
      <c r="O145" s="52">
        <v>7996.53</v>
      </c>
      <c r="P145" s="3">
        <v>7500</v>
      </c>
      <c r="Q145" s="42">
        <v>7500</v>
      </c>
      <c r="R145" s="42">
        <v>2050.48</v>
      </c>
      <c r="S145" s="3">
        <f>+Q145-R145</f>
        <v>5449.52</v>
      </c>
      <c r="T145" s="3">
        <f t="shared" si="49"/>
        <v>7500</v>
      </c>
      <c r="U145" s="3">
        <f t="shared" si="46"/>
        <v>0</v>
      </c>
      <c r="V145" s="3">
        <f t="shared" si="44"/>
        <v>0</v>
      </c>
      <c r="W145" s="3">
        <v>7500</v>
      </c>
      <c r="X145" s="3">
        <f>+W145-P145</f>
        <v>0</v>
      </c>
      <c r="Y145" s="10">
        <f t="shared" si="50"/>
        <v>0</v>
      </c>
      <c r="Z145" s="4"/>
      <c r="AA145" s="4"/>
      <c r="AB145" s="5"/>
      <c r="AC145" s="5"/>
      <c r="AD145" s="5"/>
      <c r="AE145" s="5"/>
    </row>
    <row r="146" spans="1:31" ht="15.75" customHeight="1" x14ac:dyDescent="0.25">
      <c r="A146" s="5" t="s">
        <v>150</v>
      </c>
      <c r="B146" s="3">
        <v>2045.13</v>
      </c>
      <c r="C146" s="3">
        <v>1058</v>
      </c>
      <c r="D146" s="3"/>
      <c r="E146" s="3">
        <v>2456.33</v>
      </c>
      <c r="F146" s="3">
        <v>3035.47</v>
      </c>
      <c r="G146" s="3">
        <v>932</v>
      </c>
      <c r="H146" s="3">
        <v>2937.96</v>
      </c>
      <c r="I146" s="3">
        <v>254</v>
      </c>
      <c r="J146" s="3">
        <v>2660.83</v>
      </c>
      <c r="K146" s="3">
        <v>3595.05</v>
      </c>
      <c r="L146" s="3"/>
      <c r="M146" s="3">
        <v>990.38</v>
      </c>
      <c r="N146" s="3">
        <v>22665</v>
      </c>
      <c r="O146" s="52">
        <v>1000</v>
      </c>
      <c r="P146" s="3">
        <v>1000</v>
      </c>
      <c r="Q146" s="42">
        <v>1000</v>
      </c>
      <c r="R146" s="42">
        <v>225.1</v>
      </c>
      <c r="S146" s="3">
        <v>0</v>
      </c>
      <c r="T146" s="3">
        <f t="shared" si="49"/>
        <v>225.1</v>
      </c>
      <c r="U146" s="3">
        <f t="shared" si="46"/>
        <v>-774.9</v>
      </c>
      <c r="V146" s="3">
        <f t="shared" si="44"/>
        <v>-774.9</v>
      </c>
      <c r="W146" s="3">
        <v>1000</v>
      </c>
      <c r="X146" s="3">
        <f>+W146-P146</f>
        <v>0</v>
      </c>
      <c r="Y146" s="10">
        <f t="shared" si="50"/>
        <v>0</v>
      </c>
      <c r="Z146" s="4"/>
      <c r="AA146" s="4"/>
      <c r="AB146" s="5"/>
      <c r="AC146" s="5"/>
      <c r="AD146" s="5"/>
      <c r="AE146" s="5"/>
    </row>
    <row r="147" spans="1:31" ht="15.75" customHeight="1" x14ac:dyDescent="0.25">
      <c r="A147" s="5" t="s">
        <v>151</v>
      </c>
      <c r="B147" s="3">
        <v>348.46</v>
      </c>
      <c r="C147" s="3"/>
      <c r="D147" s="3"/>
      <c r="E147" s="3">
        <v>865.91</v>
      </c>
      <c r="F147" s="3">
        <v>859.12</v>
      </c>
      <c r="G147" s="3">
        <v>540.9</v>
      </c>
      <c r="H147" s="3">
        <v>900.66</v>
      </c>
      <c r="I147" s="3">
        <v>460.8</v>
      </c>
      <c r="J147" s="3">
        <v>260.3</v>
      </c>
      <c r="K147" s="3"/>
      <c r="L147" s="3">
        <v>501.94</v>
      </c>
      <c r="M147" s="3">
        <v>1388.37</v>
      </c>
      <c r="N147" s="3">
        <v>1623</v>
      </c>
      <c r="O147" s="52">
        <v>5213.01</v>
      </c>
      <c r="P147" s="3">
        <v>5000</v>
      </c>
      <c r="Q147" s="42">
        <v>5000</v>
      </c>
      <c r="R147" s="42">
        <v>2175.7600000000002</v>
      </c>
      <c r="S147" s="3">
        <v>0</v>
      </c>
      <c r="T147" s="3">
        <f t="shared" si="49"/>
        <v>2175.7600000000002</v>
      </c>
      <c r="U147" s="3">
        <f t="shared" si="46"/>
        <v>-2824.24</v>
      </c>
      <c r="V147" s="3">
        <f t="shared" si="44"/>
        <v>-2824.24</v>
      </c>
      <c r="W147" s="3">
        <v>5000</v>
      </c>
      <c r="X147" s="3">
        <f>+W147-P147</f>
        <v>0</v>
      </c>
      <c r="Y147" s="10">
        <f t="shared" si="50"/>
        <v>0</v>
      </c>
      <c r="Z147" s="4"/>
      <c r="AA147" s="4"/>
      <c r="AB147" s="5"/>
      <c r="AC147" s="5"/>
      <c r="AD147" s="5"/>
      <c r="AE147" s="5"/>
    </row>
    <row r="148" spans="1:31" ht="15.75" customHeight="1" x14ac:dyDescent="0.25">
      <c r="A148" s="1" t="s">
        <v>42</v>
      </c>
      <c r="B148" s="11">
        <f t="shared" ref="B148:X148" si="51">SUM(B106:B147)</f>
        <v>1060514.2799999998</v>
      </c>
      <c r="C148" s="11">
        <f t="shared" si="51"/>
        <v>1131801.8200000003</v>
      </c>
      <c r="D148" s="11">
        <f t="shared" si="51"/>
        <v>1087324.1299999997</v>
      </c>
      <c r="E148" s="11">
        <f t="shared" si="51"/>
        <v>1049886.93</v>
      </c>
      <c r="F148" s="11">
        <f t="shared" si="51"/>
        <v>1091717.9000000001</v>
      </c>
      <c r="G148" s="11">
        <f t="shared" si="51"/>
        <v>1145516.05</v>
      </c>
      <c r="H148" s="11">
        <f t="shared" si="51"/>
        <v>1151587.46</v>
      </c>
      <c r="I148" s="11">
        <f t="shared" si="51"/>
        <v>1281451.5599999994</v>
      </c>
      <c r="J148" s="11">
        <f t="shared" si="51"/>
        <v>1132847.8099999998</v>
      </c>
      <c r="K148" s="11">
        <f t="shared" si="51"/>
        <v>1174045.1400000004</v>
      </c>
      <c r="L148" s="11">
        <f t="shared" si="51"/>
        <v>1335003.7299999993</v>
      </c>
      <c r="M148" s="11">
        <f t="shared" si="51"/>
        <v>1323405.3299999996</v>
      </c>
      <c r="N148" s="11">
        <f t="shared" si="51"/>
        <v>1488920</v>
      </c>
      <c r="O148" s="53">
        <f t="shared" si="51"/>
        <v>1601519.1200000003</v>
      </c>
      <c r="P148" s="11">
        <f t="shared" si="51"/>
        <v>1573721</v>
      </c>
      <c r="Q148" s="43">
        <f>SUM(Q106:Q147)</f>
        <v>1973721</v>
      </c>
      <c r="R148" s="43">
        <f t="shared" si="51"/>
        <v>1188111.7100000004</v>
      </c>
      <c r="S148" s="11">
        <f t="shared" si="51"/>
        <v>584762.82999999996</v>
      </c>
      <c r="T148" s="11">
        <f t="shared" si="51"/>
        <v>1772874.5400000003</v>
      </c>
      <c r="U148" s="11">
        <f t="shared" si="51"/>
        <v>199153.54000000004</v>
      </c>
      <c r="V148" s="11">
        <f t="shared" si="51"/>
        <v>-200846.45999999996</v>
      </c>
      <c r="W148" s="11">
        <f t="shared" si="51"/>
        <v>1734981</v>
      </c>
      <c r="X148" s="11">
        <f t="shared" si="51"/>
        <v>161260</v>
      </c>
      <c r="Y148" s="15">
        <f t="shared" si="50"/>
        <v>0.10247051415085648</v>
      </c>
      <c r="Z148" s="4"/>
      <c r="AA148" s="4"/>
      <c r="AB148" s="5"/>
      <c r="AC148" s="5"/>
      <c r="AD148" s="5"/>
      <c r="AE148" s="5"/>
    </row>
    <row r="149" spans="1:31" ht="15.75" customHeight="1" x14ac:dyDescent="0.25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52"/>
      <c r="P149" s="3"/>
      <c r="Q149" s="42"/>
      <c r="R149" s="42"/>
      <c r="S149" s="3"/>
      <c r="T149" s="3"/>
      <c r="U149" s="3"/>
      <c r="V149" s="3"/>
      <c r="W149" s="3"/>
      <c r="X149" s="3"/>
      <c r="Y149" s="10"/>
      <c r="Z149" s="4"/>
      <c r="AA149" s="4"/>
      <c r="AB149" s="5"/>
      <c r="AC149" s="5"/>
      <c r="AD149" s="5"/>
      <c r="AE149" s="5"/>
    </row>
    <row r="150" spans="1:31" ht="15.75" customHeight="1" x14ac:dyDescent="0.25">
      <c r="A150" s="9" t="s">
        <v>152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52"/>
      <c r="P150" s="3"/>
      <c r="Q150" s="42"/>
      <c r="R150" s="42"/>
      <c r="S150" s="3"/>
      <c r="T150" s="3"/>
      <c r="U150" s="3"/>
      <c r="V150" s="3"/>
      <c r="W150" s="3"/>
      <c r="X150" s="71"/>
      <c r="Y150" s="10"/>
      <c r="Z150" s="4"/>
      <c r="AA150" s="4"/>
      <c r="AB150" s="5"/>
      <c r="AC150" s="5"/>
      <c r="AD150" s="5"/>
      <c r="AE150" s="5"/>
    </row>
    <row r="151" spans="1:31" ht="15.75" customHeight="1" x14ac:dyDescent="0.25">
      <c r="A151" s="5" t="s">
        <v>153</v>
      </c>
      <c r="B151" s="3">
        <v>55401.73</v>
      </c>
      <c r="C151" s="3">
        <v>59169</v>
      </c>
      <c r="D151" s="3">
        <v>53300.35</v>
      </c>
      <c r="E151" s="3">
        <v>51422.54</v>
      </c>
      <c r="F151" s="3">
        <v>52759.95</v>
      </c>
      <c r="G151" s="3">
        <v>34023.800000000003</v>
      </c>
      <c r="H151" s="3">
        <v>11418</v>
      </c>
      <c r="I151" s="3">
        <v>20320</v>
      </c>
      <c r="J151" s="3">
        <v>39452.080000000002</v>
      </c>
      <c r="K151" s="3">
        <v>38557.279999999999</v>
      </c>
      <c r="L151" s="3">
        <v>38851.39</v>
      </c>
      <c r="M151" s="3">
        <v>43339.03</v>
      </c>
      <c r="N151" s="3">
        <v>64750</v>
      </c>
      <c r="O151" s="52">
        <v>92199.51</v>
      </c>
      <c r="P151" s="3">
        <v>80743</v>
      </c>
      <c r="Q151" s="42">
        <v>80743</v>
      </c>
      <c r="R151" s="42">
        <v>51878.58</v>
      </c>
      <c r="S151" s="3">
        <f>3052*9</f>
        <v>27468</v>
      </c>
      <c r="T151" s="3">
        <f t="shared" ref="T151:T154" si="52">+R151+S151</f>
        <v>79346.58</v>
      </c>
      <c r="U151" s="3">
        <f>+T151-P151</f>
        <v>-1396.4199999999983</v>
      </c>
      <c r="V151" s="3">
        <f>+T151-Q151</f>
        <v>-1396.4199999999983</v>
      </c>
      <c r="W151" s="3">
        <v>133082</v>
      </c>
      <c r="X151" s="3">
        <f>+W151-P151</f>
        <v>52339</v>
      </c>
      <c r="Y151" s="10">
        <f>+X151/P151</f>
        <v>0.64821718291368913</v>
      </c>
      <c r="Z151" s="4"/>
      <c r="AA151" s="4"/>
      <c r="AB151" s="5"/>
      <c r="AC151" s="5"/>
      <c r="AD151" s="5"/>
      <c r="AE151" s="5"/>
    </row>
    <row r="152" spans="1:31" ht="15.75" customHeight="1" x14ac:dyDescent="0.25">
      <c r="A152" s="5" t="s">
        <v>154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>
        <v>15810</v>
      </c>
      <c r="O152" s="52">
        <v>20204.349999999999</v>
      </c>
      <c r="P152" s="3">
        <v>21712</v>
      </c>
      <c r="Q152" s="42">
        <v>21712</v>
      </c>
      <c r="R152" s="42">
        <v>11103.4</v>
      </c>
      <c r="S152" s="3">
        <f>5347.68*2</f>
        <v>10695.36</v>
      </c>
      <c r="T152" s="3">
        <f t="shared" si="52"/>
        <v>21798.760000000002</v>
      </c>
      <c r="U152" s="3">
        <f>+T152-P152</f>
        <v>86.760000000002037</v>
      </c>
      <c r="V152" s="3">
        <f>+T152-Q152</f>
        <v>86.760000000002037</v>
      </c>
      <c r="W152" s="3">
        <v>24357</v>
      </c>
      <c r="X152" s="3">
        <f>+W152-P152</f>
        <v>2645</v>
      </c>
      <c r="Y152" s="10">
        <f>+X152/P152</f>
        <v>0.12182203389830508</v>
      </c>
      <c r="Z152" s="4"/>
      <c r="AA152" s="4"/>
      <c r="AB152" s="5"/>
      <c r="AC152" s="5"/>
      <c r="AD152" s="5"/>
      <c r="AE152" s="5"/>
    </row>
    <row r="153" spans="1:31" ht="15.75" customHeight="1" x14ac:dyDescent="0.25">
      <c r="A153" s="5" t="s">
        <v>155</v>
      </c>
      <c r="B153" s="3">
        <v>1048</v>
      </c>
      <c r="C153" s="3"/>
      <c r="D153" s="3">
        <v>449</v>
      </c>
      <c r="E153" s="3"/>
      <c r="F153" s="3"/>
      <c r="G153" s="3"/>
      <c r="H153" s="3">
        <v>234.34</v>
      </c>
      <c r="I153" s="3"/>
      <c r="J153" s="3"/>
      <c r="K153" s="3"/>
      <c r="L153" s="3">
        <v>629</v>
      </c>
      <c r="M153" s="3"/>
      <c r="N153" s="3"/>
      <c r="O153" s="52"/>
      <c r="P153" s="3"/>
      <c r="Q153" s="42"/>
      <c r="R153" s="42"/>
      <c r="S153" s="3"/>
      <c r="T153" s="3">
        <f t="shared" si="52"/>
        <v>0</v>
      </c>
      <c r="U153" s="3">
        <f>+T153-P153</f>
        <v>0</v>
      </c>
      <c r="V153" s="3">
        <f>+T153-Q153</f>
        <v>0</v>
      </c>
      <c r="W153" s="3"/>
      <c r="X153" s="3">
        <f>+W153-P153</f>
        <v>0</v>
      </c>
      <c r="Y153" s="10"/>
      <c r="Z153" s="4"/>
      <c r="AA153" s="4"/>
      <c r="AB153" s="5"/>
      <c r="AC153" s="5"/>
      <c r="AD153" s="5"/>
      <c r="AE153" s="5"/>
    </row>
    <row r="154" spans="1:31" ht="15.75" customHeight="1" x14ac:dyDescent="0.25">
      <c r="A154" s="5" t="s">
        <v>156</v>
      </c>
      <c r="B154" s="3">
        <v>10335.16</v>
      </c>
      <c r="C154" s="3">
        <v>9113</v>
      </c>
      <c r="D154" s="3">
        <v>10606.72</v>
      </c>
      <c r="E154" s="3">
        <v>8125.06</v>
      </c>
      <c r="F154" s="3">
        <v>7707.54</v>
      </c>
      <c r="G154" s="3">
        <v>40050.959999999999</v>
      </c>
      <c r="H154" s="3">
        <v>76159.77</v>
      </c>
      <c r="I154" s="3">
        <v>63047.98</v>
      </c>
      <c r="J154" s="3">
        <v>15549.13</v>
      </c>
      <c r="K154" s="3">
        <v>10898.28</v>
      </c>
      <c r="L154" s="3">
        <v>9823.9699999999993</v>
      </c>
      <c r="M154" s="3">
        <v>5646.03</v>
      </c>
      <c r="N154" s="3">
        <v>7267</v>
      </c>
      <c r="O154" s="52">
        <v>7466.22</v>
      </c>
      <c r="P154" s="3">
        <v>10000</v>
      </c>
      <c r="Q154" s="42">
        <v>10000</v>
      </c>
      <c r="R154" s="42">
        <v>7241.94</v>
      </c>
      <c r="S154" s="3">
        <v>2758</v>
      </c>
      <c r="T154" s="3">
        <f t="shared" si="52"/>
        <v>9999.9399999999987</v>
      </c>
      <c r="U154" s="3">
        <f>+T154-P154</f>
        <v>-6.0000000001309672E-2</v>
      </c>
      <c r="V154" s="3">
        <f>+T154-Q154</f>
        <v>-6.0000000001309672E-2</v>
      </c>
      <c r="W154" s="3">
        <v>10000</v>
      </c>
      <c r="X154" s="3">
        <f>+W154-P154</f>
        <v>0</v>
      </c>
      <c r="Y154" s="10">
        <f>+X154/P154</f>
        <v>0</v>
      </c>
      <c r="Z154" s="4"/>
      <c r="AA154" s="4"/>
      <c r="AB154" s="5"/>
      <c r="AC154" s="5"/>
      <c r="AD154" s="5"/>
      <c r="AE154" s="5"/>
    </row>
    <row r="155" spans="1:31" ht="15.75" customHeight="1" x14ac:dyDescent="0.25">
      <c r="A155" s="1" t="s">
        <v>42</v>
      </c>
      <c r="B155" s="11">
        <f t="shared" ref="B155:X155" si="53">SUM(B151:B154)</f>
        <v>66784.89</v>
      </c>
      <c r="C155" s="11">
        <f t="shared" si="53"/>
        <v>68282</v>
      </c>
      <c r="D155" s="11">
        <f t="shared" si="53"/>
        <v>64356.07</v>
      </c>
      <c r="E155" s="11">
        <f t="shared" si="53"/>
        <v>59547.6</v>
      </c>
      <c r="F155" s="11">
        <f t="shared" si="53"/>
        <v>60467.49</v>
      </c>
      <c r="G155" s="11">
        <f t="shared" si="53"/>
        <v>74074.760000000009</v>
      </c>
      <c r="H155" s="11">
        <f t="shared" si="53"/>
        <v>87812.11</v>
      </c>
      <c r="I155" s="11">
        <f t="shared" si="53"/>
        <v>83367.98000000001</v>
      </c>
      <c r="J155" s="11">
        <f t="shared" si="53"/>
        <v>55001.21</v>
      </c>
      <c r="K155" s="11">
        <f t="shared" si="53"/>
        <v>49455.56</v>
      </c>
      <c r="L155" s="11">
        <f t="shared" si="53"/>
        <v>49304.36</v>
      </c>
      <c r="M155" s="11">
        <f t="shared" si="53"/>
        <v>48985.06</v>
      </c>
      <c r="N155" s="11">
        <f t="shared" si="53"/>
        <v>87827</v>
      </c>
      <c r="O155" s="53">
        <f t="shared" si="53"/>
        <v>119870.07999999999</v>
      </c>
      <c r="P155" s="11">
        <f t="shared" si="53"/>
        <v>112455</v>
      </c>
      <c r="Q155" s="43">
        <f>SUM(Q151:Q154)</f>
        <v>112455</v>
      </c>
      <c r="R155" s="43">
        <f t="shared" si="53"/>
        <v>70223.92</v>
      </c>
      <c r="S155" s="11">
        <f t="shared" si="53"/>
        <v>40921.360000000001</v>
      </c>
      <c r="T155" s="11">
        <f t="shared" si="53"/>
        <v>111145.28</v>
      </c>
      <c r="U155" s="11">
        <f t="shared" si="53"/>
        <v>-1309.7199999999975</v>
      </c>
      <c r="V155" s="11">
        <f t="shared" si="53"/>
        <v>-1309.7199999999975</v>
      </c>
      <c r="W155" s="11">
        <f t="shared" si="53"/>
        <v>167439</v>
      </c>
      <c r="X155" s="11">
        <f t="shared" si="53"/>
        <v>54984</v>
      </c>
      <c r="Y155" s="15">
        <f>+X155/P155</f>
        <v>0.48894224356409233</v>
      </c>
      <c r="Z155" s="4"/>
      <c r="AA155" s="4"/>
      <c r="AB155" s="5"/>
      <c r="AC155" s="5"/>
      <c r="AD155" s="5"/>
      <c r="AE155" s="5"/>
    </row>
    <row r="156" spans="1:31" ht="15.75" customHeight="1" x14ac:dyDescent="0.25">
      <c r="A156" s="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53"/>
      <c r="P156" s="11"/>
      <c r="Q156" s="43"/>
      <c r="R156" s="43"/>
      <c r="S156" s="11"/>
      <c r="T156" s="3"/>
      <c r="U156" s="3"/>
      <c r="V156" s="3"/>
      <c r="W156" s="11"/>
      <c r="X156" s="3"/>
      <c r="Y156" s="10"/>
      <c r="Z156" s="4"/>
      <c r="AA156" s="4"/>
      <c r="AB156" s="5"/>
      <c r="AC156" s="5"/>
      <c r="AD156" s="5"/>
      <c r="AE156" s="5"/>
    </row>
    <row r="157" spans="1:31" ht="15.75" hidden="1" customHeight="1" x14ac:dyDescent="0.25">
      <c r="A157" s="9" t="s">
        <v>157</v>
      </c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53"/>
      <c r="P157" s="11"/>
      <c r="Q157" s="43"/>
      <c r="R157" s="43"/>
      <c r="S157" s="11"/>
      <c r="T157" s="3"/>
      <c r="U157" s="3"/>
      <c r="V157" s="3"/>
      <c r="W157" s="11"/>
      <c r="X157" s="3"/>
      <c r="Y157" s="10"/>
      <c r="Z157" s="4"/>
      <c r="AA157" s="4"/>
      <c r="AB157" s="5"/>
      <c r="AC157" s="5"/>
      <c r="AD157" s="5"/>
      <c r="AE157" s="5"/>
    </row>
    <row r="158" spans="1:31" ht="15.75" hidden="1" customHeight="1" x14ac:dyDescent="0.25">
      <c r="A158" s="17" t="s">
        <v>158</v>
      </c>
      <c r="B158" s="3">
        <v>5000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52"/>
      <c r="P158" s="3"/>
      <c r="Q158" s="42"/>
      <c r="R158" s="42"/>
      <c r="S158" s="3"/>
      <c r="T158" s="3"/>
      <c r="U158" s="3"/>
      <c r="V158" s="3"/>
      <c r="W158" s="3"/>
      <c r="X158" s="3"/>
      <c r="Y158" s="10"/>
      <c r="Z158" s="4"/>
      <c r="AA158" s="4"/>
      <c r="AB158" s="5"/>
      <c r="AC158" s="5"/>
      <c r="AD158" s="5"/>
      <c r="AE158" s="5"/>
    </row>
    <row r="159" spans="1:31" ht="15.75" hidden="1" customHeight="1" x14ac:dyDescent="0.25">
      <c r="A159" s="1" t="s">
        <v>42</v>
      </c>
      <c r="B159" s="11">
        <f t="shared" ref="B159:H159" si="54">+B158</f>
        <v>5000</v>
      </c>
      <c r="C159" s="11">
        <f t="shared" si="54"/>
        <v>0</v>
      </c>
      <c r="D159" s="11">
        <f t="shared" si="54"/>
        <v>0</v>
      </c>
      <c r="E159" s="11">
        <f t="shared" si="54"/>
        <v>0</v>
      </c>
      <c r="F159" s="11">
        <f t="shared" si="54"/>
        <v>0</v>
      </c>
      <c r="G159" s="11">
        <f t="shared" si="54"/>
        <v>0</v>
      </c>
      <c r="H159" s="11">
        <f t="shared" si="54"/>
        <v>0</v>
      </c>
      <c r="I159" s="11"/>
      <c r="J159" s="11"/>
      <c r="K159" s="11">
        <f t="shared" ref="K159:N159" si="55">+K158</f>
        <v>0</v>
      </c>
      <c r="L159" s="11">
        <f t="shared" si="55"/>
        <v>0</v>
      </c>
      <c r="M159" s="11">
        <f t="shared" si="55"/>
        <v>0</v>
      </c>
      <c r="N159" s="11">
        <f t="shared" si="55"/>
        <v>0</v>
      </c>
      <c r="O159" s="53"/>
      <c r="P159" s="11">
        <f>+P158</f>
        <v>0</v>
      </c>
      <c r="Q159" s="43"/>
      <c r="R159" s="43">
        <f t="shared" ref="R159:U159" si="56">+R158</f>
        <v>0</v>
      </c>
      <c r="S159" s="11">
        <f t="shared" si="56"/>
        <v>0</v>
      </c>
      <c r="T159" s="11">
        <f t="shared" si="56"/>
        <v>0</v>
      </c>
      <c r="U159" s="11">
        <f t="shared" si="56"/>
        <v>0</v>
      </c>
      <c r="V159" s="3">
        <f>+T159-Q159</f>
        <v>0</v>
      </c>
      <c r="W159" s="11">
        <f t="shared" ref="W159:Y159" si="57">+W158</f>
        <v>0</v>
      </c>
      <c r="X159" s="11">
        <f t="shared" si="57"/>
        <v>0</v>
      </c>
      <c r="Y159" s="11">
        <f t="shared" si="57"/>
        <v>0</v>
      </c>
      <c r="Z159" s="4"/>
      <c r="AA159" s="4"/>
      <c r="AB159" s="5"/>
      <c r="AC159" s="5"/>
      <c r="AD159" s="5"/>
      <c r="AE159" s="5"/>
    </row>
    <row r="160" spans="1:31" ht="15.75" hidden="1" customHeight="1" x14ac:dyDescent="0.25">
      <c r="A160" s="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53"/>
      <c r="P160" s="11"/>
      <c r="Q160" s="43"/>
      <c r="R160" s="43"/>
      <c r="S160" s="11"/>
      <c r="T160" s="3"/>
      <c r="U160" s="3"/>
      <c r="V160" s="3">
        <f>+T160-Q160</f>
        <v>0</v>
      </c>
      <c r="W160" s="11"/>
      <c r="X160" s="3"/>
      <c r="Y160" s="10"/>
      <c r="Z160" s="4"/>
      <c r="AA160" s="4"/>
      <c r="AB160" s="5"/>
      <c r="AC160" s="5"/>
      <c r="AD160" s="5"/>
      <c r="AE160" s="5"/>
    </row>
    <row r="161" spans="1:31" ht="15.75" customHeight="1" x14ac:dyDescent="0.25">
      <c r="A161" s="1" t="s">
        <v>159</v>
      </c>
      <c r="B161" s="13">
        <f t="shared" ref="B161:X161" si="58">+B148+B155+B159</f>
        <v>1132299.1699999997</v>
      </c>
      <c r="C161" s="13">
        <f t="shared" si="58"/>
        <v>1200083.8200000003</v>
      </c>
      <c r="D161" s="13">
        <f t="shared" si="58"/>
        <v>1151680.1999999997</v>
      </c>
      <c r="E161" s="13">
        <f t="shared" si="58"/>
        <v>1109434.53</v>
      </c>
      <c r="F161" s="13">
        <f t="shared" si="58"/>
        <v>1152185.3900000001</v>
      </c>
      <c r="G161" s="13">
        <f t="shared" si="58"/>
        <v>1219590.81</v>
      </c>
      <c r="H161" s="13">
        <f t="shared" si="58"/>
        <v>1239399.57</v>
      </c>
      <c r="I161" s="13">
        <f t="shared" si="58"/>
        <v>1364819.5399999993</v>
      </c>
      <c r="J161" s="13">
        <f t="shared" si="58"/>
        <v>1187849.0199999998</v>
      </c>
      <c r="K161" s="13">
        <f t="shared" si="58"/>
        <v>1223500.7000000004</v>
      </c>
      <c r="L161" s="13">
        <f t="shared" si="58"/>
        <v>1384308.0899999994</v>
      </c>
      <c r="M161" s="13">
        <f t="shared" si="58"/>
        <v>1372390.3899999997</v>
      </c>
      <c r="N161" s="13">
        <f t="shared" si="58"/>
        <v>1576747</v>
      </c>
      <c r="O161" s="54">
        <f t="shared" si="58"/>
        <v>1721389.2000000004</v>
      </c>
      <c r="P161" s="13">
        <f t="shared" si="58"/>
        <v>1686176</v>
      </c>
      <c r="Q161" s="44">
        <f>+Q148+Q155+Q159</f>
        <v>2086176</v>
      </c>
      <c r="R161" s="44">
        <f t="shared" si="58"/>
        <v>1258335.6300000004</v>
      </c>
      <c r="S161" s="13">
        <f t="shared" si="58"/>
        <v>625684.18999999994</v>
      </c>
      <c r="T161" s="13">
        <f t="shared" si="58"/>
        <v>1884019.8200000003</v>
      </c>
      <c r="U161" s="13">
        <f t="shared" si="58"/>
        <v>197843.82000000004</v>
      </c>
      <c r="V161" s="13">
        <f t="shared" si="58"/>
        <v>-202156.17999999996</v>
      </c>
      <c r="W161" s="13">
        <f t="shared" si="58"/>
        <v>1902420</v>
      </c>
      <c r="X161" s="13">
        <f t="shared" si="58"/>
        <v>216244</v>
      </c>
      <c r="Y161" s="16">
        <f>+X161/P161</f>
        <v>0.12824521283661966</v>
      </c>
      <c r="Z161" s="4"/>
      <c r="AA161" s="4"/>
      <c r="AB161" s="5"/>
      <c r="AC161" s="5"/>
      <c r="AD161" s="5"/>
      <c r="AE161" s="5"/>
    </row>
    <row r="162" spans="1:31" ht="15.75" customHeight="1" x14ac:dyDescent="0.25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52"/>
      <c r="P162" s="3"/>
      <c r="Q162" s="42"/>
      <c r="R162" s="42"/>
      <c r="S162" s="3"/>
      <c r="T162" s="3"/>
      <c r="U162" s="3"/>
      <c r="V162" s="3"/>
      <c r="W162" s="3"/>
      <c r="X162" s="3"/>
      <c r="Y162" s="16"/>
      <c r="Z162" s="4"/>
      <c r="AA162" s="4"/>
      <c r="AB162" s="5"/>
      <c r="AC162" s="5"/>
      <c r="AD162" s="5"/>
      <c r="AE162" s="5"/>
    </row>
    <row r="163" spans="1:31" ht="15.75" customHeight="1" x14ac:dyDescent="0.25">
      <c r="A163" s="8" t="s">
        <v>160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52"/>
      <c r="P163" s="3"/>
      <c r="Q163" s="42"/>
      <c r="R163" s="42"/>
      <c r="S163" s="3"/>
      <c r="T163" s="3"/>
      <c r="U163" s="3"/>
      <c r="V163" s="3"/>
      <c r="W163" s="3"/>
      <c r="X163" s="3"/>
      <c r="Y163" s="16"/>
      <c r="Z163" s="4"/>
      <c r="AA163" s="4"/>
      <c r="AB163" s="5"/>
      <c r="AC163" s="5"/>
      <c r="AD163" s="5"/>
      <c r="AE163" s="5"/>
    </row>
    <row r="164" spans="1:31" ht="15.75" customHeight="1" x14ac:dyDescent="0.25">
      <c r="A164" s="9" t="s">
        <v>161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52"/>
      <c r="P164" s="3"/>
      <c r="Q164" s="42"/>
      <c r="R164" s="42"/>
      <c r="S164" s="3"/>
      <c r="T164" s="3"/>
      <c r="U164" s="3"/>
      <c r="V164" s="3"/>
      <c r="W164" s="3"/>
      <c r="X164" s="3"/>
      <c r="Y164" s="16"/>
      <c r="Z164" s="4"/>
      <c r="AA164" s="4"/>
      <c r="AB164" s="5"/>
      <c r="AC164" s="5"/>
      <c r="AD164" s="5"/>
      <c r="AE164" s="5"/>
    </row>
    <row r="165" spans="1:31" ht="15.75" customHeight="1" x14ac:dyDescent="0.25">
      <c r="A165" s="5" t="s">
        <v>162</v>
      </c>
      <c r="B165" s="3">
        <v>-65.5</v>
      </c>
      <c r="C165" s="3">
        <v>27</v>
      </c>
      <c r="D165" s="3">
        <v>50</v>
      </c>
      <c r="E165" s="3"/>
      <c r="F165" s="3">
        <v>131.5</v>
      </c>
      <c r="G165" s="3">
        <v>630</v>
      </c>
      <c r="H165" s="3">
        <v>541.5</v>
      </c>
      <c r="I165" s="3"/>
      <c r="J165" s="3"/>
      <c r="K165" s="3"/>
      <c r="L165" s="3">
        <v>140</v>
      </c>
      <c r="M165" s="3">
        <v>400</v>
      </c>
      <c r="N165" s="3">
        <v>690</v>
      </c>
      <c r="O165" s="52">
        <v>1310</v>
      </c>
      <c r="P165" s="3">
        <v>1000</v>
      </c>
      <c r="Q165" s="42">
        <v>1000</v>
      </c>
      <c r="R165" s="42">
        <v>890</v>
      </c>
      <c r="S165" s="3">
        <v>230</v>
      </c>
      <c r="T165" s="3">
        <f>+R165+S165</f>
        <v>1120</v>
      </c>
      <c r="U165" s="3">
        <f>+T165-P165</f>
        <v>120</v>
      </c>
      <c r="V165" s="3">
        <f>+T165-Q165</f>
        <v>120</v>
      </c>
      <c r="W165" s="3">
        <v>1000</v>
      </c>
      <c r="X165" s="3">
        <f>+W165-P165</f>
        <v>0</v>
      </c>
      <c r="Y165" s="21"/>
      <c r="Z165" s="4" t="s">
        <v>94</v>
      </c>
      <c r="AA165" s="4"/>
      <c r="AB165" s="5"/>
      <c r="AC165" s="5"/>
      <c r="AD165" s="5"/>
      <c r="AE165" s="5"/>
    </row>
    <row r="166" spans="1:31" ht="15.75" customHeight="1" x14ac:dyDescent="0.25">
      <c r="A166" s="1" t="s">
        <v>42</v>
      </c>
      <c r="B166" s="11">
        <f t="shared" ref="B166:Y166" si="59">+B165</f>
        <v>-65.5</v>
      </c>
      <c r="C166" s="11">
        <f t="shared" si="59"/>
        <v>27</v>
      </c>
      <c r="D166" s="11">
        <f t="shared" si="59"/>
        <v>50</v>
      </c>
      <c r="E166" s="11">
        <f t="shared" si="59"/>
        <v>0</v>
      </c>
      <c r="F166" s="11">
        <f t="shared" si="59"/>
        <v>131.5</v>
      </c>
      <c r="G166" s="11">
        <f t="shared" si="59"/>
        <v>630</v>
      </c>
      <c r="H166" s="11">
        <f t="shared" si="59"/>
        <v>541.5</v>
      </c>
      <c r="I166" s="11">
        <f t="shared" si="59"/>
        <v>0</v>
      </c>
      <c r="J166" s="11">
        <f t="shared" si="59"/>
        <v>0</v>
      </c>
      <c r="K166" s="11">
        <f t="shared" si="59"/>
        <v>0</v>
      </c>
      <c r="L166" s="11">
        <f t="shared" si="59"/>
        <v>140</v>
      </c>
      <c r="M166" s="11">
        <f t="shared" si="59"/>
        <v>400</v>
      </c>
      <c r="N166" s="11">
        <f t="shared" si="59"/>
        <v>690</v>
      </c>
      <c r="O166" s="53">
        <f t="shared" si="59"/>
        <v>1310</v>
      </c>
      <c r="P166" s="11">
        <f t="shared" si="59"/>
        <v>1000</v>
      </c>
      <c r="Q166" s="43">
        <f t="shared" si="59"/>
        <v>1000</v>
      </c>
      <c r="R166" s="43">
        <f t="shared" si="59"/>
        <v>890</v>
      </c>
      <c r="S166" s="11">
        <f t="shared" si="59"/>
        <v>230</v>
      </c>
      <c r="T166" s="11">
        <f t="shared" si="59"/>
        <v>1120</v>
      </c>
      <c r="U166" s="11">
        <f t="shared" si="59"/>
        <v>120</v>
      </c>
      <c r="V166" s="11">
        <f t="shared" si="59"/>
        <v>120</v>
      </c>
      <c r="W166" s="11">
        <f t="shared" si="59"/>
        <v>1000</v>
      </c>
      <c r="X166" s="11">
        <f t="shared" si="59"/>
        <v>0</v>
      </c>
      <c r="Y166" s="11">
        <f t="shared" si="59"/>
        <v>0</v>
      </c>
      <c r="Z166" s="4"/>
      <c r="AA166" s="4"/>
      <c r="AB166" s="5"/>
      <c r="AC166" s="5"/>
      <c r="AD166" s="5"/>
      <c r="AE166" s="5"/>
    </row>
    <row r="167" spans="1:31" ht="15.75" customHeight="1" x14ac:dyDescent="0.25">
      <c r="A167" s="1" t="s">
        <v>163</v>
      </c>
      <c r="B167" s="13">
        <f t="shared" ref="B167:Y167" si="60">+B166</f>
        <v>-65.5</v>
      </c>
      <c r="C167" s="13">
        <f t="shared" si="60"/>
        <v>27</v>
      </c>
      <c r="D167" s="13">
        <f t="shared" si="60"/>
        <v>50</v>
      </c>
      <c r="E167" s="13">
        <f t="shared" si="60"/>
        <v>0</v>
      </c>
      <c r="F167" s="13">
        <f t="shared" si="60"/>
        <v>131.5</v>
      </c>
      <c r="G167" s="13">
        <f t="shared" si="60"/>
        <v>630</v>
      </c>
      <c r="H167" s="13">
        <f t="shared" si="60"/>
        <v>541.5</v>
      </c>
      <c r="I167" s="13">
        <f t="shared" si="60"/>
        <v>0</v>
      </c>
      <c r="J167" s="13">
        <f t="shared" si="60"/>
        <v>0</v>
      </c>
      <c r="K167" s="13">
        <f t="shared" si="60"/>
        <v>0</v>
      </c>
      <c r="L167" s="13">
        <f t="shared" si="60"/>
        <v>140</v>
      </c>
      <c r="M167" s="13">
        <f t="shared" si="60"/>
        <v>400</v>
      </c>
      <c r="N167" s="13">
        <f t="shared" si="60"/>
        <v>690</v>
      </c>
      <c r="O167" s="54">
        <f t="shared" si="60"/>
        <v>1310</v>
      </c>
      <c r="P167" s="13">
        <f t="shared" si="60"/>
        <v>1000</v>
      </c>
      <c r="Q167" s="44">
        <f t="shared" si="60"/>
        <v>1000</v>
      </c>
      <c r="R167" s="44">
        <f t="shared" si="60"/>
        <v>890</v>
      </c>
      <c r="S167" s="13">
        <f t="shared" si="60"/>
        <v>230</v>
      </c>
      <c r="T167" s="13">
        <f t="shared" si="60"/>
        <v>1120</v>
      </c>
      <c r="U167" s="13">
        <f t="shared" si="60"/>
        <v>120</v>
      </c>
      <c r="V167" s="13">
        <f t="shared" si="60"/>
        <v>120</v>
      </c>
      <c r="W167" s="13">
        <f t="shared" si="60"/>
        <v>1000</v>
      </c>
      <c r="X167" s="13">
        <f t="shared" si="60"/>
        <v>0</v>
      </c>
      <c r="Y167" s="13">
        <f t="shared" si="60"/>
        <v>0</v>
      </c>
      <c r="Z167" s="4"/>
      <c r="AA167" s="4"/>
      <c r="AB167" s="5"/>
      <c r="AC167" s="5"/>
      <c r="AD167" s="5"/>
      <c r="AE167" s="5"/>
    </row>
    <row r="168" spans="1:31" ht="15.75" customHeight="1" x14ac:dyDescent="0.25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52"/>
      <c r="P168" s="3"/>
      <c r="Q168" s="42"/>
      <c r="R168" s="42"/>
      <c r="S168" s="3"/>
      <c r="T168" s="3"/>
      <c r="U168" s="3"/>
      <c r="V168" s="3"/>
      <c r="W168" s="3"/>
      <c r="X168" s="3"/>
      <c r="Y168" s="10"/>
      <c r="Z168" s="4"/>
      <c r="AA168" s="4"/>
      <c r="AB168" s="5"/>
      <c r="AC168" s="5"/>
      <c r="AD168" s="5"/>
      <c r="AE168" s="5"/>
    </row>
    <row r="169" spans="1:31" ht="15.75" customHeight="1" x14ac:dyDescent="0.25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52"/>
      <c r="P169" s="3"/>
      <c r="Q169" s="42"/>
      <c r="R169" s="42"/>
      <c r="S169" s="3"/>
      <c r="T169" s="3"/>
      <c r="U169" s="3"/>
      <c r="V169" s="3"/>
      <c r="W169" s="3"/>
      <c r="X169" s="3"/>
      <c r="Y169" s="10"/>
      <c r="Z169" s="4"/>
      <c r="AA169" s="4"/>
      <c r="AB169" s="5"/>
      <c r="AC169" s="5"/>
      <c r="AD169" s="5"/>
      <c r="AE169" s="5"/>
    </row>
    <row r="170" spans="1:31" ht="15.75" customHeight="1" x14ac:dyDescent="0.25">
      <c r="A170" s="8" t="s">
        <v>164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55"/>
      <c r="P170" s="7"/>
      <c r="Q170" s="45"/>
      <c r="R170" s="45"/>
      <c r="S170" s="7"/>
      <c r="T170" s="3"/>
      <c r="U170" s="3"/>
      <c r="V170" s="3"/>
      <c r="W170" s="7"/>
      <c r="X170" s="3"/>
      <c r="Y170" s="10"/>
      <c r="Z170" s="4"/>
      <c r="AA170" s="4"/>
      <c r="AB170" s="5"/>
      <c r="AC170" s="5"/>
      <c r="AD170" s="5"/>
      <c r="AE170" s="5"/>
    </row>
    <row r="171" spans="1:31" ht="15.75" customHeight="1" x14ac:dyDescent="0.25">
      <c r="A171" s="8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55"/>
      <c r="P171" s="7"/>
      <c r="Q171" s="45"/>
      <c r="R171" s="45"/>
      <c r="S171" s="7"/>
      <c r="T171" s="3"/>
      <c r="U171" s="3"/>
      <c r="V171" s="3"/>
      <c r="W171" s="7"/>
      <c r="X171" s="3"/>
      <c r="Y171" s="10"/>
      <c r="Z171" s="4"/>
      <c r="AA171" s="4"/>
      <c r="AB171" s="5"/>
      <c r="AC171" s="5"/>
      <c r="AD171" s="5"/>
      <c r="AE171" s="5"/>
    </row>
    <row r="172" spans="1:31" ht="15.75" customHeight="1" x14ac:dyDescent="0.25">
      <c r="A172" s="9" t="s">
        <v>165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52"/>
      <c r="P172" s="3"/>
      <c r="Q172" s="42"/>
      <c r="R172" s="42"/>
      <c r="S172" s="3"/>
      <c r="T172" s="3"/>
      <c r="U172" s="3"/>
      <c r="V172" s="3"/>
      <c r="W172" s="3"/>
      <c r="X172" s="3"/>
      <c r="Y172" s="10"/>
      <c r="Z172" s="4"/>
      <c r="AA172" s="4"/>
      <c r="AB172" s="5"/>
      <c r="AC172" s="5"/>
      <c r="AD172" s="5"/>
      <c r="AE172" s="5"/>
    </row>
    <row r="173" spans="1:31" ht="15.75" hidden="1" customHeight="1" x14ac:dyDescent="0.25">
      <c r="A173" s="5" t="s">
        <v>166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52"/>
      <c r="P173" s="3"/>
      <c r="Q173" s="42"/>
      <c r="R173" s="42"/>
      <c r="S173" s="3"/>
      <c r="T173" s="3"/>
      <c r="U173" s="3"/>
      <c r="V173" s="3"/>
      <c r="W173" s="3"/>
      <c r="X173" s="3"/>
      <c r="Y173" s="10"/>
      <c r="Z173" s="4"/>
      <c r="AA173" s="4"/>
      <c r="AB173" s="5"/>
      <c r="AC173" s="5"/>
      <c r="AD173" s="5"/>
      <c r="AE173" s="5"/>
    </row>
    <row r="174" spans="1:31" ht="15.75" hidden="1" customHeight="1" x14ac:dyDescent="0.25">
      <c r="A174" s="5" t="s">
        <v>167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52"/>
      <c r="P174" s="3"/>
      <c r="Q174" s="42"/>
      <c r="R174" s="42"/>
      <c r="S174" s="3"/>
      <c r="T174" s="3"/>
      <c r="U174" s="3"/>
      <c r="V174" s="3"/>
      <c r="W174" s="3"/>
      <c r="X174" s="3"/>
      <c r="Y174" s="10"/>
      <c r="Z174" s="4"/>
      <c r="AA174" s="4"/>
      <c r="AB174" s="5"/>
      <c r="AC174" s="5"/>
      <c r="AD174" s="5"/>
      <c r="AE174" s="5"/>
    </row>
    <row r="175" spans="1:31" ht="15.75" customHeight="1" x14ac:dyDescent="0.25">
      <c r="A175" s="5" t="s">
        <v>168</v>
      </c>
      <c r="B175" s="3">
        <v>2600</v>
      </c>
      <c r="C175" s="3">
        <v>2650</v>
      </c>
      <c r="D175" s="3">
        <v>2500</v>
      </c>
      <c r="E175" s="3">
        <v>2600</v>
      </c>
      <c r="F175" s="3">
        <v>2600</v>
      </c>
      <c r="G175" s="3">
        <v>2500</v>
      </c>
      <c r="H175" s="3">
        <v>2650</v>
      </c>
      <c r="I175" s="3">
        <v>2600</v>
      </c>
      <c r="J175" s="3">
        <v>2300</v>
      </c>
      <c r="K175" s="3">
        <v>2600</v>
      </c>
      <c r="L175" s="3">
        <v>2500</v>
      </c>
      <c r="M175" s="3">
        <v>3120</v>
      </c>
      <c r="N175" s="3">
        <v>3214</v>
      </c>
      <c r="O175" s="52">
        <v>3246.41</v>
      </c>
      <c r="P175" s="3">
        <v>3409</v>
      </c>
      <c r="Q175" s="42">
        <v>3409</v>
      </c>
      <c r="R175" s="42">
        <v>2163.65</v>
      </c>
      <c r="S175" s="3">
        <f>131*9</f>
        <v>1179</v>
      </c>
      <c r="T175" s="3">
        <f t="shared" ref="T175:T183" si="61">+R175+S175</f>
        <v>3342.65</v>
      </c>
      <c r="U175" s="3">
        <f t="shared" ref="U175:U183" si="62">+T175-P175</f>
        <v>-66.349999999999909</v>
      </c>
      <c r="V175" s="3">
        <f t="shared" ref="V175:V183" si="63">+T175-Q175</f>
        <v>-66.349999999999909</v>
      </c>
      <c r="W175" s="3">
        <v>3512</v>
      </c>
      <c r="X175" s="3">
        <f>+W175-P175</f>
        <v>103</v>
      </c>
      <c r="Y175" s="10">
        <f>+X175/P175</f>
        <v>3.0214139043707833E-2</v>
      </c>
      <c r="Z175" s="4"/>
      <c r="AA175" s="4"/>
      <c r="AB175" s="5"/>
      <c r="AC175" s="5"/>
      <c r="AD175" s="5"/>
      <c r="AE175" s="5"/>
    </row>
    <row r="176" spans="1:31" ht="15.75" customHeight="1" x14ac:dyDescent="0.25">
      <c r="A176" s="5" t="s">
        <v>169</v>
      </c>
      <c r="B176" s="3"/>
      <c r="C176" s="3"/>
      <c r="D176" s="3"/>
      <c r="E176" s="3"/>
      <c r="F176" s="3"/>
      <c r="G176" s="3"/>
      <c r="H176" s="3"/>
      <c r="I176" s="3">
        <v>29925</v>
      </c>
      <c r="J176" s="3">
        <v>29260</v>
      </c>
      <c r="K176" s="3">
        <v>28595</v>
      </c>
      <c r="L176" s="3">
        <v>27930</v>
      </c>
      <c r="M176" s="3">
        <v>67265</v>
      </c>
      <c r="N176" s="3">
        <v>0</v>
      </c>
      <c r="O176" s="52">
        <v>102078.6</v>
      </c>
      <c r="P176" s="3"/>
      <c r="Q176" s="42"/>
      <c r="R176" s="42"/>
      <c r="S176" s="3"/>
      <c r="T176" s="3">
        <f t="shared" si="61"/>
        <v>0</v>
      </c>
      <c r="U176" s="3">
        <f t="shared" si="62"/>
        <v>0</v>
      </c>
      <c r="V176" s="3">
        <f t="shared" si="63"/>
        <v>0</v>
      </c>
      <c r="W176" s="3"/>
      <c r="X176" s="3">
        <f>+W176-P176</f>
        <v>0</v>
      </c>
      <c r="Y176" s="10"/>
      <c r="Z176" s="4"/>
      <c r="AA176" s="4"/>
      <c r="AB176" s="5"/>
      <c r="AC176" s="5"/>
      <c r="AD176" s="5"/>
      <c r="AE176" s="5"/>
    </row>
    <row r="177" spans="1:31" ht="15.75" customHeight="1" x14ac:dyDescent="0.25">
      <c r="A177" s="5" t="s">
        <v>170</v>
      </c>
      <c r="B177" s="3"/>
      <c r="C177" s="3"/>
      <c r="D177" s="3">
        <v>116729.17</v>
      </c>
      <c r="E177" s="3">
        <v>107717.53</v>
      </c>
      <c r="F177" s="3">
        <v>16467.46</v>
      </c>
      <c r="G177" s="3">
        <v>27309.360000000001</v>
      </c>
      <c r="H177" s="3">
        <v>368452.15</v>
      </c>
      <c r="I177" s="3">
        <v>60723.9</v>
      </c>
      <c r="J177" s="3">
        <v>56292.639999999999</v>
      </c>
      <c r="K177" s="3"/>
      <c r="L177" s="3">
        <v>196865.32</v>
      </c>
      <c r="M177" s="3">
        <v>360198.06</v>
      </c>
      <c r="N177" s="3">
        <v>273622</v>
      </c>
      <c r="O177" s="52"/>
      <c r="P177" s="3"/>
      <c r="Q177" s="42">
        <v>352203.27</v>
      </c>
      <c r="R177" s="42">
        <v>352203.27</v>
      </c>
      <c r="S177" s="3"/>
      <c r="T177" s="3">
        <f t="shared" si="61"/>
        <v>352203.27</v>
      </c>
      <c r="U177" s="3">
        <f t="shared" si="62"/>
        <v>352203.27</v>
      </c>
      <c r="V177" s="3">
        <f t="shared" si="63"/>
        <v>0</v>
      </c>
      <c r="W177" s="3">
        <v>0</v>
      </c>
      <c r="X177" s="3">
        <f>+W177-P177</f>
        <v>0</v>
      </c>
      <c r="Y177" s="10"/>
      <c r="Z177" s="4" t="s">
        <v>94</v>
      </c>
      <c r="AA177" s="4"/>
      <c r="AB177" s="5"/>
      <c r="AC177" s="5"/>
      <c r="AD177" s="5"/>
      <c r="AE177" s="5"/>
    </row>
    <row r="178" spans="1:31" ht="15.75" hidden="1" customHeight="1" x14ac:dyDescent="0.25">
      <c r="A178" s="5" t="s">
        <v>171</v>
      </c>
      <c r="B178" s="3"/>
      <c r="C178" s="3">
        <v>38671.21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52"/>
      <c r="P178" s="3"/>
      <c r="Q178" s="42"/>
      <c r="R178" s="42"/>
      <c r="S178" s="3"/>
      <c r="T178" s="3">
        <f t="shared" si="61"/>
        <v>0</v>
      </c>
      <c r="U178" s="3">
        <f t="shared" si="62"/>
        <v>0</v>
      </c>
      <c r="V178" s="3">
        <f t="shared" si="63"/>
        <v>0</v>
      </c>
      <c r="W178" s="3"/>
      <c r="X178" s="3"/>
      <c r="Y178" s="10"/>
      <c r="Z178" s="4"/>
      <c r="AA178" s="4"/>
      <c r="AB178" s="5"/>
      <c r="AC178" s="5"/>
      <c r="AD178" s="5"/>
      <c r="AE178" s="5"/>
    </row>
    <row r="179" spans="1:31" ht="15.75" customHeight="1" x14ac:dyDescent="0.25">
      <c r="A179" s="5" t="s">
        <v>172</v>
      </c>
      <c r="B179" s="3">
        <v>438559</v>
      </c>
      <c r="C179" s="3">
        <v>399066</v>
      </c>
      <c r="D179" s="3">
        <v>405000</v>
      </c>
      <c r="E179" s="3">
        <v>412000</v>
      </c>
      <c r="F179" s="3">
        <v>419000</v>
      </c>
      <c r="G179" s="3">
        <v>424954</v>
      </c>
      <c r="H179" s="3">
        <v>442404</v>
      </c>
      <c r="I179" s="3">
        <v>451272</v>
      </c>
      <c r="J179" s="3">
        <v>463717</v>
      </c>
      <c r="K179" s="3">
        <v>478808.21</v>
      </c>
      <c r="L179" s="3">
        <v>490811</v>
      </c>
      <c r="M179" s="3">
        <v>506822.79</v>
      </c>
      <c r="N179" s="3">
        <v>515799</v>
      </c>
      <c r="O179" s="52">
        <v>527801.02</v>
      </c>
      <c r="P179" s="3">
        <v>537447</v>
      </c>
      <c r="Q179" s="42">
        <v>537447</v>
      </c>
      <c r="R179" s="42">
        <f>403171.91-87</f>
        <v>403084.91</v>
      </c>
      <c r="S179" s="3">
        <v>134362</v>
      </c>
      <c r="T179" s="3">
        <f t="shared" si="61"/>
        <v>537446.90999999992</v>
      </c>
      <c r="U179" s="3">
        <f t="shared" si="62"/>
        <v>-9.0000000083819032E-2</v>
      </c>
      <c r="V179" s="3">
        <f t="shared" si="63"/>
        <v>-9.0000000083819032E-2</v>
      </c>
      <c r="W179" s="3">
        <f>+Q179*1.03</f>
        <v>553570.41</v>
      </c>
      <c r="X179" s="3">
        <f>+W179-P179</f>
        <v>16123.410000000033</v>
      </c>
      <c r="Y179" s="10">
        <f>+X179/P179</f>
        <v>3.0000000000000061E-2</v>
      </c>
      <c r="Z179" s="4"/>
      <c r="AA179" s="4"/>
      <c r="AB179" s="5"/>
      <c r="AC179" s="5"/>
      <c r="AD179" s="5"/>
      <c r="AE179" s="5"/>
    </row>
    <row r="180" spans="1:31" ht="15.75" hidden="1" customHeight="1" x14ac:dyDescent="0.25">
      <c r="A180" s="5" t="s">
        <v>173</v>
      </c>
      <c r="B180" s="3"/>
      <c r="C180" s="3"/>
      <c r="D180" s="3">
        <v>15204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52"/>
      <c r="P180" s="3"/>
      <c r="Q180" s="42"/>
      <c r="R180" s="42"/>
      <c r="S180" s="3"/>
      <c r="T180" s="3">
        <f t="shared" si="61"/>
        <v>0</v>
      </c>
      <c r="U180" s="3">
        <f t="shared" si="62"/>
        <v>0</v>
      </c>
      <c r="V180" s="3">
        <f t="shared" si="63"/>
        <v>0</v>
      </c>
      <c r="W180" s="3"/>
      <c r="X180" s="3">
        <f>+W180-P180</f>
        <v>0</v>
      </c>
      <c r="Y180" s="10"/>
      <c r="Z180" s="4"/>
      <c r="AA180" s="4"/>
      <c r="AB180" s="5"/>
      <c r="AC180" s="5"/>
      <c r="AD180" s="5"/>
      <c r="AE180" s="5"/>
    </row>
    <row r="181" spans="1:31" ht="15.75" customHeight="1" x14ac:dyDescent="0.25">
      <c r="A181" s="5" t="s">
        <v>174</v>
      </c>
      <c r="B181" s="3"/>
      <c r="C181" s="3"/>
      <c r="D181" s="3">
        <v>1470.24</v>
      </c>
      <c r="E181" s="3"/>
      <c r="F181" s="3"/>
      <c r="G181" s="3"/>
      <c r="H181" s="3">
        <v>83619.44</v>
      </c>
      <c r="I181" s="3">
        <v>28290</v>
      </c>
      <c r="J181" s="3">
        <v>68.63</v>
      </c>
      <c r="K181" s="3"/>
      <c r="L181" s="3"/>
      <c r="M181" s="3"/>
      <c r="N181" s="3">
        <v>500</v>
      </c>
      <c r="O181" s="52">
        <v>116.42</v>
      </c>
      <c r="P181" s="3">
        <v>1000</v>
      </c>
      <c r="Q181" s="42">
        <v>1000</v>
      </c>
      <c r="R181" s="42">
        <f>386+87</f>
        <v>473</v>
      </c>
      <c r="S181" s="3">
        <v>0</v>
      </c>
      <c r="T181" s="3">
        <f t="shared" si="61"/>
        <v>473</v>
      </c>
      <c r="U181" s="3">
        <f t="shared" si="62"/>
        <v>-527</v>
      </c>
      <c r="V181" s="3">
        <f t="shared" si="63"/>
        <v>-527</v>
      </c>
      <c r="W181" s="3">
        <v>1000</v>
      </c>
      <c r="X181" s="3">
        <f>+W181-P181</f>
        <v>0</v>
      </c>
      <c r="Y181" s="10">
        <f>+X181/P181</f>
        <v>0</v>
      </c>
      <c r="Z181" s="4"/>
      <c r="AA181" s="4"/>
      <c r="AB181" s="5"/>
      <c r="AC181" s="5"/>
      <c r="AD181" s="5"/>
      <c r="AE181" s="5"/>
    </row>
    <row r="182" spans="1:31" ht="15.75" customHeight="1" x14ac:dyDescent="0.25">
      <c r="A182" s="5" t="s">
        <v>175</v>
      </c>
      <c r="B182" s="3"/>
      <c r="C182" s="3"/>
      <c r="D182" s="3"/>
      <c r="E182" s="3"/>
      <c r="F182" s="3"/>
      <c r="G182" s="3"/>
      <c r="H182" s="3">
        <v>75000</v>
      </c>
      <c r="I182" s="3"/>
      <c r="J182" s="3"/>
      <c r="K182" s="3"/>
      <c r="L182" s="3"/>
      <c r="M182" s="3">
        <v>7500</v>
      </c>
      <c r="N182" s="3">
        <v>0</v>
      </c>
      <c r="O182" s="52"/>
      <c r="P182" s="3"/>
      <c r="Q182" s="42"/>
      <c r="R182" s="42"/>
      <c r="S182" s="3"/>
      <c r="T182" s="3">
        <f t="shared" si="61"/>
        <v>0</v>
      </c>
      <c r="U182" s="3">
        <f t="shared" si="62"/>
        <v>0</v>
      </c>
      <c r="V182" s="3">
        <f t="shared" si="63"/>
        <v>0</v>
      </c>
      <c r="W182" s="3"/>
      <c r="X182" s="3"/>
      <c r="Y182" s="10"/>
      <c r="Z182" s="4"/>
      <c r="AA182" s="4"/>
      <c r="AB182" s="5"/>
      <c r="AC182" s="5"/>
      <c r="AD182" s="5"/>
      <c r="AE182" s="5"/>
    </row>
    <row r="183" spans="1:31" ht="15.75" customHeight="1" x14ac:dyDescent="0.25">
      <c r="A183" s="5" t="s">
        <v>176</v>
      </c>
      <c r="B183" s="3"/>
      <c r="C183" s="3">
        <v>500</v>
      </c>
      <c r="D183" s="3"/>
      <c r="E183" s="3">
        <v>1000</v>
      </c>
      <c r="F183" s="3"/>
      <c r="G183" s="3">
        <v>1900</v>
      </c>
      <c r="H183" s="3"/>
      <c r="I183" s="3"/>
      <c r="J183" s="3"/>
      <c r="K183" s="3"/>
      <c r="L183" s="3">
        <v>29475</v>
      </c>
      <c r="M183" s="3"/>
      <c r="N183" s="3">
        <v>0</v>
      </c>
      <c r="O183" s="52">
        <v>3400</v>
      </c>
      <c r="P183" s="3">
        <v>1000</v>
      </c>
      <c r="Q183" s="42">
        <v>1000</v>
      </c>
      <c r="R183" s="42">
        <v>0</v>
      </c>
      <c r="S183" s="3">
        <v>0</v>
      </c>
      <c r="T183" s="3">
        <f t="shared" si="61"/>
        <v>0</v>
      </c>
      <c r="U183" s="3">
        <f t="shared" si="62"/>
        <v>-1000</v>
      </c>
      <c r="V183" s="3">
        <f t="shared" si="63"/>
        <v>-1000</v>
      </c>
      <c r="W183" s="3">
        <v>1000</v>
      </c>
      <c r="X183" s="3">
        <f>+W183-P183</f>
        <v>0</v>
      </c>
      <c r="Y183" s="10">
        <f>+X183/P183</f>
        <v>0</v>
      </c>
      <c r="Z183" s="4" t="s">
        <v>177</v>
      </c>
      <c r="AA183" s="4"/>
      <c r="AB183" s="5"/>
      <c r="AC183" s="5"/>
      <c r="AD183" s="5"/>
      <c r="AE183" s="5"/>
    </row>
    <row r="184" spans="1:31" ht="15.75" customHeight="1" x14ac:dyDescent="0.25">
      <c r="A184" s="1" t="s">
        <v>42</v>
      </c>
      <c r="B184" s="11">
        <f t="shared" ref="B184:X184" si="64">SUM(B173:B183)</f>
        <v>441159</v>
      </c>
      <c r="C184" s="11">
        <f t="shared" si="64"/>
        <v>440887.21</v>
      </c>
      <c r="D184" s="11">
        <f t="shared" si="64"/>
        <v>540903.40999999992</v>
      </c>
      <c r="E184" s="11">
        <f t="shared" si="64"/>
        <v>523317.53</v>
      </c>
      <c r="F184" s="11">
        <f t="shared" si="64"/>
        <v>438067.46</v>
      </c>
      <c r="G184" s="11">
        <f t="shared" si="64"/>
        <v>456663.36</v>
      </c>
      <c r="H184" s="11">
        <f t="shared" si="64"/>
        <v>972125.59000000008</v>
      </c>
      <c r="I184" s="11">
        <f t="shared" si="64"/>
        <v>572810.9</v>
      </c>
      <c r="J184" s="11">
        <f t="shared" si="64"/>
        <v>551638.27</v>
      </c>
      <c r="K184" s="11">
        <f t="shared" si="64"/>
        <v>510003.21</v>
      </c>
      <c r="L184" s="11">
        <f t="shared" si="64"/>
        <v>747581.32000000007</v>
      </c>
      <c r="M184" s="11">
        <f t="shared" si="64"/>
        <v>944905.85</v>
      </c>
      <c r="N184" s="11">
        <f t="shared" si="64"/>
        <v>793135</v>
      </c>
      <c r="O184" s="53">
        <f t="shared" si="64"/>
        <v>636642.45000000007</v>
      </c>
      <c r="P184" s="11">
        <f t="shared" si="64"/>
        <v>542856</v>
      </c>
      <c r="Q184" s="43">
        <f>SUM(Q173:Q183)</f>
        <v>895059.27</v>
      </c>
      <c r="R184" s="43">
        <f t="shared" si="64"/>
        <v>757924.83000000007</v>
      </c>
      <c r="S184" s="11">
        <f t="shared" si="64"/>
        <v>135541</v>
      </c>
      <c r="T184" s="11">
        <f t="shared" si="64"/>
        <v>893465.83</v>
      </c>
      <c r="U184" s="11">
        <f t="shared" si="64"/>
        <v>350609.82999999996</v>
      </c>
      <c r="V184" s="11">
        <f t="shared" si="64"/>
        <v>-1593.4400000000837</v>
      </c>
      <c r="W184" s="11">
        <f t="shared" si="64"/>
        <v>559082.41</v>
      </c>
      <c r="X184" s="11">
        <f t="shared" si="64"/>
        <v>16226.410000000033</v>
      </c>
      <c r="Y184" s="15">
        <f>+X184/P184</f>
        <v>2.9890818191196253E-2</v>
      </c>
      <c r="Z184" s="4"/>
      <c r="AA184" s="4"/>
      <c r="AB184" s="5"/>
      <c r="AC184" s="5"/>
      <c r="AD184" s="5"/>
      <c r="AE184" s="5"/>
    </row>
    <row r="185" spans="1:31" ht="15.75" customHeight="1" x14ac:dyDescent="0.25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52"/>
      <c r="P185" s="3"/>
      <c r="Q185" s="42"/>
      <c r="R185" s="42"/>
      <c r="S185" s="3"/>
      <c r="T185" s="3"/>
      <c r="U185" s="3"/>
      <c r="V185" s="3"/>
      <c r="W185" s="3"/>
      <c r="X185" s="3"/>
      <c r="Y185" s="10"/>
      <c r="Z185" s="4"/>
      <c r="AA185" s="4"/>
      <c r="AB185" s="5"/>
      <c r="AC185" s="5"/>
      <c r="AD185" s="5"/>
      <c r="AE185" s="5"/>
    </row>
    <row r="186" spans="1:31" ht="15.75" customHeight="1" x14ac:dyDescent="0.25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52"/>
      <c r="P186" s="3"/>
      <c r="Q186" s="42"/>
      <c r="R186" s="42"/>
      <c r="S186" s="3"/>
      <c r="T186" s="3"/>
      <c r="U186" s="3"/>
      <c r="V186" s="3"/>
      <c r="W186" s="3"/>
      <c r="X186" s="3"/>
      <c r="Y186" s="10"/>
      <c r="Z186" s="4"/>
      <c r="AA186" s="4"/>
      <c r="AB186" s="5"/>
      <c r="AC186" s="5"/>
      <c r="AD186" s="5"/>
      <c r="AE186" s="5"/>
    </row>
    <row r="187" spans="1:31" ht="15.75" customHeight="1" x14ac:dyDescent="0.25">
      <c r="A187" s="9" t="s">
        <v>178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52"/>
      <c r="P187" s="3"/>
      <c r="Q187" s="42"/>
      <c r="R187" s="42"/>
      <c r="S187" s="3"/>
      <c r="T187" s="3"/>
      <c r="U187" s="3"/>
      <c r="V187" s="3"/>
      <c r="W187" s="3"/>
      <c r="X187" s="3"/>
      <c r="Y187" s="10"/>
      <c r="Z187" s="4"/>
      <c r="AA187" s="4"/>
      <c r="AB187" s="5"/>
      <c r="AC187" s="5"/>
      <c r="AD187" s="5"/>
      <c r="AE187" s="5"/>
    </row>
    <row r="188" spans="1:31" ht="15.75" customHeight="1" x14ac:dyDescent="0.25">
      <c r="A188" s="5" t="s">
        <v>179</v>
      </c>
      <c r="B188" s="3"/>
      <c r="C188" s="3">
        <v>334</v>
      </c>
      <c r="D188" s="3">
        <v>192.74</v>
      </c>
      <c r="E188" s="3">
        <v>3364.73</v>
      </c>
      <c r="F188" s="3">
        <v>219.01</v>
      </c>
      <c r="G188" s="3">
        <v>1369.49</v>
      </c>
      <c r="H188" s="3">
        <v>424.64</v>
      </c>
      <c r="I188" s="3">
        <v>313.41000000000003</v>
      </c>
      <c r="J188" s="3">
        <v>1009.9</v>
      </c>
      <c r="K188" s="3">
        <v>813.91</v>
      </c>
      <c r="L188" s="3">
        <v>61.61</v>
      </c>
      <c r="M188" s="3">
        <v>748.32</v>
      </c>
      <c r="N188" s="3">
        <v>0</v>
      </c>
      <c r="O188" s="52">
        <v>63.74</v>
      </c>
      <c r="P188" s="3">
        <v>1000</v>
      </c>
      <c r="Q188" s="42">
        <v>1000</v>
      </c>
      <c r="R188" s="42">
        <v>501.8</v>
      </c>
      <c r="S188" s="3">
        <v>0</v>
      </c>
      <c r="T188" s="3">
        <f t="shared" ref="T188:T192" si="65">+R188+S188</f>
        <v>501.8</v>
      </c>
      <c r="U188" s="3">
        <f>+T188-P188</f>
        <v>-498.2</v>
      </c>
      <c r="V188" s="3">
        <f>+T188-Q188</f>
        <v>-498.2</v>
      </c>
      <c r="W188" s="3">
        <v>1000</v>
      </c>
      <c r="X188" s="3">
        <f>+W188-P188</f>
        <v>0</v>
      </c>
      <c r="Y188" s="10">
        <f>+X188/P188</f>
        <v>0</v>
      </c>
      <c r="Z188" s="4"/>
      <c r="AA188" s="4"/>
      <c r="AB188" s="5"/>
      <c r="AC188" s="5"/>
      <c r="AD188" s="5"/>
      <c r="AE188" s="5"/>
    </row>
    <row r="189" spans="1:31" ht="15.75" customHeight="1" x14ac:dyDescent="0.25">
      <c r="A189" s="5" t="s">
        <v>180</v>
      </c>
      <c r="B189" s="3">
        <v>16977.43</v>
      </c>
      <c r="C189" s="3">
        <v>14031</v>
      </c>
      <c r="D189" s="3">
        <v>13994.73</v>
      </c>
      <c r="E189" s="3">
        <v>13907.06</v>
      </c>
      <c r="F189" s="3">
        <v>12453.04</v>
      </c>
      <c r="G189" s="3">
        <v>13563.29</v>
      </c>
      <c r="H189" s="3">
        <v>14587.77</v>
      </c>
      <c r="I189" s="3">
        <v>14910.37</v>
      </c>
      <c r="J189" s="3">
        <v>13869.98</v>
      </c>
      <c r="K189" s="3">
        <v>13350.48</v>
      </c>
      <c r="L189" s="3">
        <v>14152.74</v>
      </c>
      <c r="M189" s="3">
        <v>14932.35</v>
      </c>
      <c r="N189" s="3">
        <v>17074</v>
      </c>
      <c r="O189" s="52">
        <v>16748.89</v>
      </c>
      <c r="P189" s="3">
        <v>19380</v>
      </c>
      <c r="Q189" s="42">
        <v>19380</v>
      </c>
      <c r="R189" s="42">
        <v>10041.469999999999</v>
      </c>
      <c r="S189" s="3">
        <f>3500+2000+2000+2000</f>
        <v>9500</v>
      </c>
      <c r="T189" s="3">
        <f t="shared" si="65"/>
        <v>19541.47</v>
      </c>
      <c r="U189" s="3">
        <f>+T189-P189</f>
        <v>161.47000000000116</v>
      </c>
      <c r="V189" s="3">
        <f>+T189-Q189</f>
        <v>161.47000000000116</v>
      </c>
      <c r="W189" s="3">
        <f>+P189*1.15</f>
        <v>22287</v>
      </c>
      <c r="X189" s="3">
        <f>+W189-P189</f>
        <v>2907</v>
      </c>
      <c r="Y189" s="10">
        <f>+X189/P189</f>
        <v>0.15</v>
      </c>
      <c r="Z189" s="57" t="s">
        <v>129</v>
      </c>
      <c r="AA189" s="4"/>
      <c r="AB189" s="3"/>
      <c r="AC189" s="5"/>
      <c r="AD189" s="5"/>
      <c r="AE189" s="5"/>
    </row>
    <row r="190" spans="1:31" ht="15.75" customHeight="1" x14ac:dyDescent="0.25">
      <c r="A190" s="5" t="s">
        <v>181</v>
      </c>
      <c r="B190" s="3">
        <v>2002.2</v>
      </c>
      <c r="C190" s="3">
        <v>2038</v>
      </c>
      <c r="D190" s="3">
        <v>3125.03</v>
      </c>
      <c r="E190" s="3">
        <v>5291.99</v>
      </c>
      <c r="F190" s="3">
        <v>7265.83</v>
      </c>
      <c r="G190" s="3">
        <v>8604.56</v>
      </c>
      <c r="H190" s="3">
        <v>3055.74</v>
      </c>
      <c r="I190" s="3">
        <v>374.7</v>
      </c>
      <c r="J190" s="3">
        <v>2697.29</v>
      </c>
      <c r="K190" s="3">
        <v>919.48</v>
      </c>
      <c r="L190" s="3">
        <v>125</v>
      </c>
      <c r="M190" s="3">
        <v>7231.78</v>
      </c>
      <c r="N190" s="3">
        <v>2200</v>
      </c>
      <c r="O190" s="52">
        <v>1911.57</v>
      </c>
      <c r="P190" s="3">
        <v>1000</v>
      </c>
      <c r="Q190" s="42">
        <v>1000</v>
      </c>
      <c r="R190" s="42">
        <v>0</v>
      </c>
      <c r="S190" s="3">
        <v>499</v>
      </c>
      <c r="T190" s="3">
        <f t="shared" si="65"/>
        <v>499</v>
      </c>
      <c r="U190" s="3">
        <f>+T190-P190</f>
        <v>-501</v>
      </c>
      <c r="V190" s="3">
        <f>+T190-Q190</f>
        <v>-501</v>
      </c>
      <c r="W190" s="3">
        <v>1000</v>
      </c>
      <c r="X190" s="3">
        <f>+W190-P190</f>
        <v>0</v>
      </c>
      <c r="Y190" s="10">
        <f>+X190/P190</f>
        <v>0</v>
      </c>
      <c r="Z190" s="4"/>
      <c r="AA190" s="4"/>
      <c r="AB190" s="5"/>
      <c r="AC190" s="5"/>
      <c r="AD190" s="5"/>
      <c r="AE190" s="5"/>
    </row>
    <row r="191" spans="1:31" ht="15.75" customHeight="1" x14ac:dyDescent="0.25">
      <c r="A191" s="5" t="s">
        <v>182</v>
      </c>
      <c r="B191" s="3">
        <v>45</v>
      </c>
      <c r="C191" s="3"/>
      <c r="D191" s="3">
        <v>255</v>
      </c>
      <c r="E191" s="3">
        <v>710</v>
      </c>
      <c r="F191" s="3">
        <v>949</v>
      </c>
      <c r="G191" s="3">
        <v>865</v>
      </c>
      <c r="H191" s="3">
        <v>745.71</v>
      </c>
      <c r="I191" s="3">
        <v>1575</v>
      </c>
      <c r="J191" s="3">
        <v>830</v>
      </c>
      <c r="K191" s="3">
        <v>6729.65</v>
      </c>
      <c r="L191" s="3">
        <v>817.7</v>
      </c>
      <c r="M191" s="3">
        <v>1302.1500000000001</v>
      </c>
      <c r="N191" s="3">
        <v>1310</v>
      </c>
      <c r="O191" s="52">
        <v>392.4</v>
      </c>
      <c r="P191" s="3">
        <v>1400</v>
      </c>
      <c r="Q191" s="42">
        <v>1400</v>
      </c>
      <c r="R191" s="42">
        <v>153</v>
      </c>
      <c r="S191" s="3">
        <v>20</v>
      </c>
      <c r="T191" s="3">
        <f t="shared" si="65"/>
        <v>173</v>
      </c>
      <c r="U191" s="3">
        <f>+T191-P191</f>
        <v>-1227</v>
      </c>
      <c r="V191" s="3">
        <f>+T191-Q191</f>
        <v>-1227</v>
      </c>
      <c r="W191" s="3">
        <v>1400</v>
      </c>
      <c r="X191" s="3">
        <f>+W191-P191</f>
        <v>0</v>
      </c>
      <c r="Y191" s="10">
        <f>+X191/P191</f>
        <v>0</v>
      </c>
      <c r="Z191" s="4"/>
      <c r="AA191" s="4"/>
      <c r="AB191" s="5"/>
      <c r="AC191" s="5"/>
      <c r="AD191" s="5"/>
      <c r="AE191" s="5"/>
    </row>
    <row r="192" spans="1:31" ht="15.75" customHeight="1" x14ac:dyDescent="0.25">
      <c r="A192" s="5" t="s">
        <v>183</v>
      </c>
      <c r="B192" s="3"/>
      <c r="C192" s="3"/>
      <c r="D192" s="3"/>
      <c r="E192" s="3"/>
      <c r="F192" s="3"/>
      <c r="G192" s="3"/>
      <c r="H192" s="3">
        <v>5800</v>
      </c>
      <c r="I192" s="3">
        <v>165</v>
      </c>
      <c r="J192" s="3"/>
      <c r="K192" s="3"/>
      <c r="L192" s="3"/>
      <c r="M192" s="3">
        <v>527.32000000000005</v>
      </c>
      <c r="N192" s="3">
        <v>0</v>
      </c>
      <c r="O192" s="52">
        <v>1456.47</v>
      </c>
      <c r="P192" s="3">
        <v>0</v>
      </c>
      <c r="Q192" s="42">
        <v>0</v>
      </c>
      <c r="R192" s="42">
        <v>732.2</v>
      </c>
      <c r="S192" s="3"/>
      <c r="T192" s="3">
        <f t="shared" si="65"/>
        <v>732.2</v>
      </c>
      <c r="U192" s="3">
        <f>+T192-P192</f>
        <v>732.2</v>
      </c>
      <c r="V192" s="3">
        <f>+T192-Q192</f>
        <v>732.2</v>
      </c>
      <c r="W192" s="3">
        <v>1000</v>
      </c>
      <c r="X192" s="3">
        <f>+W192-P192</f>
        <v>1000</v>
      </c>
      <c r="Y192" s="10"/>
      <c r="Z192" s="4"/>
      <c r="AA192" s="4"/>
      <c r="AB192" s="5"/>
      <c r="AC192" s="5"/>
      <c r="AD192" s="5"/>
      <c r="AE192" s="5"/>
    </row>
    <row r="193" spans="1:31" ht="15.75" customHeight="1" x14ac:dyDescent="0.25">
      <c r="A193" s="1" t="s">
        <v>42</v>
      </c>
      <c r="B193" s="11">
        <f t="shared" ref="B193:G193" si="66">SUM(B188:B191)</f>
        <v>19024.63</v>
      </c>
      <c r="C193" s="11">
        <f t="shared" si="66"/>
        <v>16403</v>
      </c>
      <c r="D193" s="11">
        <f t="shared" si="66"/>
        <v>17567.5</v>
      </c>
      <c r="E193" s="11">
        <f t="shared" si="66"/>
        <v>23273.78</v>
      </c>
      <c r="F193" s="11">
        <f t="shared" si="66"/>
        <v>20886.88</v>
      </c>
      <c r="G193" s="11">
        <f t="shared" si="66"/>
        <v>24402.34</v>
      </c>
      <c r="H193" s="11">
        <f t="shared" ref="H193:X193" si="67">SUM(H188:H192)</f>
        <v>24613.86</v>
      </c>
      <c r="I193" s="11">
        <f t="shared" si="67"/>
        <v>17338.480000000003</v>
      </c>
      <c r="J193" s="11">
        <f t="shared" si="67"/>
        <v>18407.169999999998</v>
      </c>
      <c r="K193" s="11">
        <f t="shared" si="67"/>
        <v>21813.519999999997</v>
      </c>
      <c r="L193" s="11">
        <f t="shared" si="67"/>
        <v>15157.050000000001</v>
      </c>
      <c r="M193" s="11">
        <f t="shared" si="67"/>
        <v>24741.920000000002</v>
      </c>
      <c r="N193" s="11">
        <f t="shared" si="67"/>
        <v>20584</v>
      </c>
      <c r="O193" s="53">
        <f t="shared" si="67"/>
        <v>20573.070000000003</v>
      </c>
      <c r="P193" s="11">
        <f t="shared" si="67"/>
        <v>22780</v>
      </c>
      <c r="Q193" s="43">
        <f>SUM(Q188:Q192)</f>
        <v>22780</v>
      </c>
      <c r="R193" s="43">
        <f t="shared" si="67"/>
        <v>11428.47</v>
      </c>
      <c r="S193" s="11">
        <f t="shared" si="67"/>
        <v>10019</v>
      </c>
      <c r="T193" s="11">
        <f t="shared" si="67"/>
        <v>21447.47</v>
      </c>
      <c r="U193" s="11">
        <f t="shared" si="67"/>
        <v>-1332.5299999999986</v>
      </c>
      <c r="V193" s="11">
        <f t="shared" si="67"/>
        <v>-1332.5299999999986</v>
      </c>
      <c r="W193" s="11">
        <f t="shared" si="67"/>
        <v>26687</v>
      </c>
      <c r="X193" s="11">
        <f t="shared" si="67"/>
        <v>3907</v>
      </c>
      <c r="Y193" s="15">
        <f>+X193/P193</f>
        <v>0.17151009657594382</v>
      </c>
      <c r="Z193" s="4"/>
      <c r="AA193" s="4"/>
      <c r="AB193" s="5"/>
      <c r="AC193" s="5"/>
      <c r="AD193" s="5"/>
      <c r="AE193" s="5"/>
    </row>
    <row r="194" spans="1:31" ht="15.75" customHeight="1" x14ac:dyDescent="0.25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52"/>
      <c r="P194" s="3"/>
      <c r="Q194" s="42"/>
      <c r="R194" s="42"/>
      <c r="S194" s="3"/>
      <c r="T194" s="3"/>
      <c r="U194" s="3"/>
      <c r="V194" s="3"/>
      <c r="W194" s="3"/>
      <c r="X194" s="3"/>
      <c r="Y194" s="15"/>
      <c r="Z194" s="4"/>
      <c r="AA194" s="4"/>
      <c r="AB194" s="5"/>
      <c r="AC194" s="5"/>
      <c r="AD194" s="5"/>
      <c r="AE194" s="5"/>
    </row>
    <row r="195" spans="1:31" ht="15.75" hidden="1" customHeight="1" x14ac:dyDescent="0.25">
      <c r="A195" s="9" t="s">
        <v>184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52"/>
      <c r="P195" s="3"/>
      <c r="Q195" s="42"/>
      <c r="R195" s="42"/>
      <c r="S195" s="3"/>
      <c r="T195" s="3"/>
      <c r="U195" s="3"/>
      <c r="V195" s="3"/>
      <c r="W195" s="3"/>
      <c r="X195" s="3"/>
      <c r="Y195" s="15"/>
      <c r="Z195" s="4"/>
      <c r="AA195" s="4"/>
      <c r="AB195" s="5"/>
      <c r="AC195" s="5"/>
      <c r="AD195" s="5"/>
      <c r="AE195" s="5"/>
    </row>
    <row r="196" spans="1:31" ht="15.75" hidden="1" customHeight="1" x14ac:dyDescent="0.25">
      <c r="A196" s="5" t="s">
        <v>185</v>
      </c>
      <c r="B196" s="3">
        <v>1000</v>
      </c>
      <c r="C196" s="3"/>
      <c r="D196" s="3"/>
      <c r="E196" s="3">
        <v>1922.98</v>
      </c>
      <c r="F196" s="3"/>
      <c r="G196" s="3"/>
      <c r="H196" s="3">
        <v>59.47</v>
      </c>
      <c r="I196" s="3"/>
      <c r="J196" s="3"/>
      <c r="K196" s="3"/>
      <c r="L196" s="3"/>
      <c r="M196" s="3"/>
      <c r="N196" s="3"/>
      <c r="O196" s="52"/>
      <c r="P196" s="3"/>
      <c r="Q196" s="42"/>
      <c r="R196" s="42"/>
      <c r="S196" s="3"/>
      <c r="T196" s="3">
        <f>+R196+S196</f>
        <v>0</v>
      </c>
      <c r="U196" s="3">
        <f>+T196-P196</f>
        <v>0</v>
      </c>
      <c r="V196" s="3">
        <f>+T196-Q196</f>
        <v>0</v>
      </c>
      <c r="W196" s="3"/>
      <c r="X196" s="3">
        <f>+W196-P196</f>
        <v>0</v>
      </c>
      <c r="Y196" s="15"/>
      <c r="Z196" s="4"/>
      <c r="AA196" s="4"/>
      <c r="AB196" s="5"/>
      <c r="AC196" s="5"/>
      <c r="AD196" s="5"/>
      <c r="AE196" s="5"/>
    </row>
    <row r="197" spans="1:31" ht="15.75" hidden="1" customHeight="1" x14ac:dyDescent="0.25">
      <c r="A197" s="1" t="s">
        <v>42</v>
      </c>
      <c r="B197" s="11">
        <f t="shared" ref="B197:N197" si="68">SUM(B196)</f>
        <v>1000</v>
      </c>
      <c r="C197" s="11">
        <f t="shared" si="68"/>
        <v>0</v>
      </c>
      <c r="D197" s="11">
        <f t="shared" si="68"/>
        <v>0</v>
      </c>
      <c r="E197" s="11">
        <f t="shared" si="68"/>
        <v>1922.98</v>
      </c>
      <c r="F197" s="11">
        <f t="shared" si="68"/>
        <v>0</v>
      </c>
      <c r="G197" s="11">
        <f t="shared" si="68"/>
        <v>0</v>
      </c>
      <c r="H197" s="11">
        <f t="shared" si="68"/>
        <v>59.47</v>
      </c>
      <c r="I197" s="11">
        <f t="shared" si="68"/>
        <v>0</v>
      </c>
      <c r="J197" s="11">
        <f t="shared" si="68"/>
        <v>0</v>
      </c>
      <c r="K197" s="11">
        <f t="shared" si="68"/>
        <v>0</v>
      </c>
      <c r="L197" s="11">
        <f t="shared" si="68"/>
        <v>0</v>
      </c>
      <c r="M197" s="11">
        <f t="shared" si="68"/>
        <v>0</v>
      </c>
      <c r="N197" s="11">
        <f t="shared" si="68"/>
        <v>0</v>
      </c>
      <c r="O197" s="53"/>
      <c r="P197" s="11">
        <f>SUM(P196)</f>
        <v>0</v>
      </c>
      <c r="Q197" s="43"/>
      <c r="R197" s="43">
        <f t="shared" ref="R197:X197" si="69">SUM(R196)</f>
        <v>0</v>
      </c>
      <c r="S197" s="11">
        <f t="shared" si="69"/>
        <v>0</v>
      </c>
      <c r="T197" s="11">
        <f t="shared" si="69"/>
        <v>0</v>
      </c>
      <c r="U197" s="11">
        <f t="shared" si="69"/>
        <v>0</v>
      </c>
      <c r="V197" s="11">
        <f t="shared" si="69"/>
        <v>0</v>
      </c>
      <c r="W197" s="11">
        <f t="shared" si="69"/>
        <v>0</v>
      </c>
      <c r="X197" s="11">
        <f t="shared" si="69"/>
        <v>0</v>
      </c>
      <c r="Y197" s="15">
        <v>0</v>
      </c>
      <c r="Z197" s="4"/>
      <c r="AA197" s="4"/>
      <c r="AB197" s="5"/>
      <c r="AC197" s="5"/>
      <c r="AD197" s="5"/>
      <c r="AE197" s="5"/>
    </row>
    <row r="198" spans="1:31" ht="15.75" hidden="1" customHeight="1" x14ac:dyDescent="0.25">
      <c r="A198" s="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53"/>
      <c r="P198" s="11"/>
      <c r="Q198" s="43"/>
      <c r="R198" s="43"/>
      <c r="S198" s="11"/>
      <c r="T198" s="4"/>
      <c r="U198" s="3"/>
      <c r="V198" s="3"/>
      <c r="W198" s="11"/>
      <c r="X198" s="3"/>
      <c r="Y198" s="10"/>
      <c r="Z198" s="4"/>
      <c r="AA198" s="4"/>
      <c r="AB198" s="5"/>
      <c r="AC198" s="5"/>
      <c r="AD198" s="5"/>
      <c r="AE198" s="5"/>
    </row>
    <row r="199" spans="1:31" ht="15.75" customHeight="1" x14ac:dyDescent="0.25">
      <c r="A199" s="9" t="s">
        <v>186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52"/>
      <c r="P199" s="3"/>
      <c r="Q199" s="42"/>
      <c r="R199" s="42"/>
      <c r="S199" s="4"/>
      <c r="T199" s="3"/>
      <c r="U199" s="3"/>
      <c r="V199" s="3"/>
      <c r="W199" s="3"/>
      <c r="X199" s="3"/>
      <c r="Y199" s="10"/>
      <c r="Z199" s="4"/>
      <c r="AA199" s="4"/>
      <c r="AB199" s="5"/>
      <c r="AC199" s="5"/>
      <c r="AD199" s="5"/>
      <c r="AE199" s="5"/>
    </row>
    <row r="200" spans="1:31" ht="15.75" customHeight="1" x14ac:dyDescent="0.25">
      <c r="A200" s="5" t="s">
        <v>187</v>
      </c>
      <c r="B200" s="3">
        <v>49001.7</v>
      </c>
      <c r="C200" s="3">
        <v>52728</v>
      </c>
      <c r="D200" s="3">
        <v>58946.57</v>
      </c>
      <c r="E200" s="3">
        <v>62763.83</v>
      </c>
      <c r="F200" s="3">
        <v>61602.18</v>
      </c>
      <c r="G200" s="3">
        <v>58586.62</v>
      </c>
      <c r="H200" s="3">
        <v>52028.93</v>
      </c>
      <c r="I200" s="3">
        <v>63450.8</v>
      </c>
      <c r="J200" s="3">
        <v>48439.96</v>
      </c>
      <c r="K200" s="3">
        <v>39583.81</v>
      </c>
      <c r="L200" s="3">
        <v>42680.19</v>
      </c>
      <c r="M200" s="3">
        <v>48069.98</v>
      </c>
      <c r="N200" s="3">
        <v>49262</v>
      </c>
      <c r="O200" s="52">
        <v>62479.56</v>
      </c>
      <c r="P200" s="3">
        <f>5000*12</f>
        <v>60000</v>
      </c>
      <c r="Q200" s="42">
        <v>60000</v>
      </c>
      <c r="R200" s="42">
        <v>34343.879999999997</v>
      </c>
      <c r="S200" s="3">
        <f>5300*4</f>
        <v>21200</v>
      </c>
      <c r="T200" s="3">
        <f t="shared" ref="T200:T201" si="70">+R200+S200</f>
        <v>55543.88</v>
      </c>
      <c r="U200" s="3">
        <f>+T200-P200</f>
        <v>-4456.1200000000026</v>
      </c>
      <c r="V200" s="3">
        <f>+T200-Q200</f>
        <v>-4456.1200000000026</v>
      </c>
      <c r="W200" s="3">
        <v>60000</v>
      </c>
      <c r="X200" s="3">
        <f>+W200-P200</f>
        <v>0</v>
      </c>
      <c r="Y200" s="10">
        <f>+X200/P200</f>
        <v>0</v>
      </c>
      <c r="Z200" s="4" t="s">
        <v>188</v>
      </c>
      <c r="AA200" s="4"/>
      <c r="AB200" s="5"/>
      <c r="AC200" s="5"/>
      <c r="AD200" s="5"/>
      <c r="AE200" s="5"/>
    </row>
    <row r="201" spans="1:31" ht="15.75" customHeight="1" x14ac:dyDescent="0.25">
      <c r="A201" s="5" t="s">
        <v>189</v>
      </c>
      <c r="B201" s="3"/>
      <c r="C201" s="3"/>
      <c r="D201" s="3"/>
      <c r="E201" s="3"/>
      <c r="F201" s="3"/>
      <c r="G201" s="3"/>
      <c r="H201" s="3"/>
      <c r="I201" s="3"/>
      <c r="J201" s="3">
        <v>3947.57</v>
      </c>
      <c r="K201" s="3"/>
      <c r="L201" s="3"/>
      <c r="M201" s="3">
        <v>7657.25</v>
      </c>
      <c r="N201" s="3">
        <v>3031</v>
      </c>
      <c r="O201" s="52"/>
      <c r="P201" s="3"/>
      <c r="Q201" s="42"/>
      <c r="R201" s="42"/>
      <c r="S201" s="3"/>
      <c r="T201" s="3">
        <f t="shared" si="70"/>
        <v>0</v>
      </c>
      <c r="U201" s="3">
        <f>+T201-P201</f>
        <v>0</v>
      </c>
      <c r="V201" s="3">
        <f>+T201-Q201</f>
        <v>0</v>
      </c>
      <c r="W201" s="3"/>
      <c r="X201" s="3">
        <f>+W201-P201</f>
        <v>0</v>
      </c>
      <c r="Y201" s="10"/>
      <c r="Z201" s="4"/>
      <c r="AA201" s="4"/>
      <c r="AB201" s="5"/>
      <c r="AC201" s="5"/>
      <c r="AD201" s="5"/>
      <c r="AE201" s="5"/>
    </row>
    <row r="202" spans="1:31" ht="15.75" customHeight="1" x14ac:dyDescent="0.25">
      <c r="A202" s="1" t="s">
        <v>42</v>
      </c>
      <c r="B202" s="11">
        <f t="shared" ref="B202:I202" si="71">+B200</f>
        <v>49001.7</v>
      </c>
      <c r="C202" s="11">
        <f t="shared" si="71"/>
        <v>52728</v>
      </c>
      <c r="D202" s="11">
        <f t="shared" si="71"/>
        <v>58946.57</v>
      </c>
      <c r="E202" s="11">
        <f t="shared" si="71"/>
        <v>62763.83</v>
      </c>
      <c r="F202" s="11">
        <f t="shared" si="71"/>
        <v>61602.18</v>
      </c>
      <c r="G202" s="11">
        <f t="shared" si="71"/>
        <v>58586.62</v>
      </c>
      <c r="H202" s="11">
        <f t="shared" si="71"/>
        <v>52028.93</v>
      </c>
      <c r="I202" s="11">
        <f t="shared" si="71"/>
        <v>63450.8</v>
      </c>
      <c r="J202" s="11">
        <f>+J200+J201</f>
        <v>52387.53</v>
      </c>
      <c r="K202" s="11">
        <f t="shared" ref="K202:L202" si="72">+K200</f>
        <v>39583.81</v>
      </c>
      <c r="L202" s="11">
        <f t="shared" si="72"/>
        <v>42680.19</v>
      </c>
      <c r="M202" s="11">
        <f t="shared" ref="M202:N202" si="73">SUM(M200:M201)</f>
        <v>55727.23</v>
      </c>
      <c r="N202" s="11">
        <f t="shared" si="73"/>
        <v>52293</v>
      </c>
      <c r="O202" s="53">
        <f t="shared" ref="O202:P202" si="74">+O200</f>
        <v>62479.56</v>
      </c>
      <c r="P202" s="11">
        <f t="shared" si="74"/>
        <v>60000</v>
      </c>
      <c r="Q202" s="43">
        <f>+Q200</f>
        <v>60000</v>
      </c>
      <c r="R202" s="43">
        <f>SUM(R200:R201)</f>
        <v>34343.879999999997</v>
      </c>
      <c r="S202" s="11">
        <f t="shared" ref="S202:X202" si="75">+S200</f>
        <v>21200</v>
      </c>
      <c r="T202" s="11">
        <f t="shared" si="75"/>
        <v>55543.88</v>
      </c>
      <c r="U202" s="11">
        <f t="shared" si="75"/>
        <v>-4456.1200000000026</v>
      </c>
      <c r="V202" s="11">
        <f t="shared" si="75"/>
        <v>-4456.1200000000026</v>
      </c>
      <c r="W202" s="11">
        <f t="shared" si="75"/>
        <v>60000</v>
      </c>
      <c r="X202" s="11">
        <f t="shared" si="75"/>
        <v>0</v>
      </c>
      <c r="Y202" s="15">
        <f>+X202/P202</f>
        <v>0</v>
      </c>
      <c r="Z202" s="4"/>
      <c r="AA202" s="4"/>
      <c r="AB202" s="5"/>
      <c r="AC202" s="5"/>
      <c r="AD202" s="5"/>
      <c r="AE202" s="5"/>
    </row>
    <row r="203" spans="1:31" ht="15.75" customHeight="1" x14ac:dyDescent="0.25">
      <c r="A203" s="1" t="s">
        <v>190</v>
      </c>
      <c r="B203" s="13">
        <f t="shared" ref="B203:X203" si="76">+B184+B193+B197+B202</f>
        <v>510185.33</v>
      </c>
      <c r="C203" s="13">
        <f t="shared" si="76"/>
        <v>510018.21</v>
      </c>
      <c r="D203" s="13">
        <f t="shared" si="76"/>
        <v>617417.47999999986</v>
      </c>
      <c r="E203" s="13">
        <f t="shared" si="76"/>
        <v>611278.12</v>
      </c>
      <c r="F203" s="13">
        <f t="shared" si="76"/>
        <v>520556.52</v>
      </c>
      <c r="G203" s="13">
        <f t="shared" si="76"/>
        <v>539652.32000000007</v>
      </c>
      <c r="H203" s="13">
        <f t="shared" si="76"/>
        <v>1048827.8500000001</v>
      </c>
      <c r="I203" s="13">
        <f t="shared" si="76"/>
        <v>653600.18000000005</v>
      </c>
      <c r="J203" s="13">
        <f t="shared" si="76"/>
        <v>622432.97000000009</v>
      </c>
      <c r="K203" s="13">
        <f t="shared" si="76"/>
        <v>571400.54</v>
      </c>
      <c r="L203" s="13">
        <f t="shared" si="76"/>
        <v>805418.56</v>
      </c>
      <c r="M203" s="13">
        <f t="shared" si="76"/>
        <v>1025375</v>
      </c>
      <c r="N203" s="13">
        <f t="shared" si="76"/>
        <v>866012</v>
      </c>
      <c r="O203" s="54">
        <f t="shared" si="76"/>
        <v>719695.08000000007</v>
      </c>
      <c r="P203" s="13">
        <f t="shared" si="76"/>
        <v>625636</v>
      </c>
      <c r="Q203" s="44">
        <f>+Q184+Q193+Q197+Q202</f>
        <v>977839.27</v>
      </c>
      <c r="R203" s="44">
        <f t="shared" si="76"/>
        <v>803697.18</v>
      </c>
      <c r="S203" s="13">
        <f t="shared" si="76"/>
        <v>166760</v>
      </c>
      <c r="T203" s="13">
        <f t="shared" si="76"/>
        <v>970457.17999999993</v>
      </c>
      <c r="U203" s="13">
        <f t="shared" si="76"/>
        <v>344821.18</v>
      </c>
      <c r="V203" s="13">
        <f t="shared" si="76"/>
        <v>-7382.0900000000847</v>
      </c>
      <c r="W203" s="13">
        <f t="shared" si="76"/>
        <v>645769.41</v>
      </c>
      <c r="X203" s="13">
        <f t="shared" si="76"/>
        <v>20133.410000000033</v>
      </c>
      <c r="Y203" s="16">
        <f>+X203/P203</f>
        <v>3.2180708910612615E-2</v>
      </c>
      <c r="Z203" s="4"/>
      <c r="AA203" s="4"/>
      <c r="AB203" s="5"/>
      <c r="AC203" s="5"/>
      <c r="AD203" s="5"/>
      <c r="AE203" s="5"/>
    </row>
    <row r="204" spans="1:31" ht="15.75" customHeight="1" x14ac:dyDescent="0.25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52"/>
      <c r="P204" s="3"/>
      <c r="Q204" s="42"/>
      <c r="R204" s="42"/>
      <c r="S204" s="3"/>
      <c r="T204" s="3"/>
      <c r="U204" s="3"/>
      <c r="V204" s="3"/>
      <c r="W204" s="3"/>
      <c r="X204" s="3"/>
      <c r="Y204" s="10"/>
      <c r="Z204" s="4"/>
      <c r="AA204" s="4"/>
      <c r="AB204" s="5"/>
      <c r="AC204" s="5"/>
      <c r="AD204" s="5"/>
      <c r="AE204" s="5"/>
    </row>
    <row r="205" spans="1:31" ht="15.75" customHeight="1" x14ac:dyDescent="0.25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52"/>
      <c r="P205" s="3"/>
      <c r="Q205" s="42"/>
      <c r="R205" s="42"/>
      <c r="S205" s="3"/>
      <c r="T205" s="3"/>
      <c r="U205" s="3"/>
      <c r="V205" s="3"/>
      <c r="W205" s="3"/>
      <c r="X205" s="3"/>
      <c r="Y205" s="10"/>
      <c r="Z205" s="4"/>
      <c r="AA205" s="4"/>
      <c r="AB205" s="5"/>
      <c r="AC205" s="5"/>
      <c r="AD205" s="5"/>
      <c r="AE205" s="5"/>
    </row>
    <row r="206" spans="1:31" ht="15.75" customHeight="1" x14ac:dyDescent="0.25">
      <c r="A206" s="8" t="s">
        <v>191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52"/>
      <c r="P206" s="3"/>
      <c r="Q206" s="42"/>
      <c r="R206" s="42"/>
      <c r="S206" s="3"/>
      <c r="T206" s="3"/>
      <c r="U206" s="3"/>
      <c r="V206" s="3"/>
      <c r="W206" s="3"/>
      <c r="X206" s="3"/>
      <c r="Y206" s="10"/>
      <c r="Z206" s="4"/>
      <c r="AA206" s="4"/>
      <c r="AB206" s="5"/>
      <c r="AC206" s="5"/>
      <c r="AD206" s="5"/>
      <c r="AE206" s="5"/>
    </row>
    <row r="207" spans="1:31" ht="15.75" customHeight="1" x14ac:dyDescent="0.25">
      <c r="A207" s="9" t="s">
        <v>192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52"/>
      <c r="P207" s="3"/>
      <c r="Q207" s="42"/>
      <c r="R207" s="42"/>
      <c r="S207" s="3"/>
      <c r="T207" s="3"/>
      <c r="U207" s="3"/>
      <c r="V207" s="3"/>
      <c r="W207" s="3"/>
      <c r="X207" s="3"/>
      <c r="Y207" s="10"/>
      <c r="Z207" s="4"/>
      <c r="AA207" s="4"/>
      <c r="AB207" s="5"/>
      <c r="AC207" s="5"/>
      <c r="AD207" s="5"/>
      <c r="AE207" s="5"/>
    </row>
    <row r="208" spans="1:31" ht="15.75" customHeight="1" x14ac:dyDescent="0.25">
      <c r="A208" s="17" t="s">
        <v>193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>
        <v>104807.17</v>
      </c>
      <c r="M208" s="3">
        <v>84106.38</v>
      </c>
      <c r="N208" s="3">
        <v>75090</v>
      </c>
      <c r="O208" s="52">
        <v>76732.350000000006</v>
      </c>
      <c r="P208" s="3">
        <v>80000</v>
      </c>
      <c r="Q208" s="42">
        <v>80000</v>
      </c>
      <c r="R208" s="42">
        <v>78793.149999999994</v>
      </c>
      <c r="S208" s="3">
        <v>2100</v>
      </c>
      <c r="T208" s="3">
        <f t="shared" ref="T208:T209" si="77">+R208+S208</f>
        <v>80893.149999999994</v>
      </c>
      <c r="U208" s="3">
        <f>+T208-P208</f>
        <v>893.14999999999418</v>
      </c>
      <c r="V208" s="3">
        <f>+T208-Q208</f>
        <v>893.14999999999418</v>
      </c>
      <c r="W208" s="3">
        <v>81000</v>
      </c>
      <c r="X208" s="3">
        <f>+W208-P208</f>
        <v>1000</v>
      </c>
      <c r="Y208" s="20">
        <f>+X208/P208</f>
        <v>1.2500000000000001E-2</v>
      </c>
      <c r="Z208" s="4"/>
      <c r="AA208" s="4"/>
      <c r="AB208" s="5"/>
      <c r="AC208" s="5"/>
      <c r="AD208" s="5"/>
      <c r="AE208" s="5"/>
    </row>
    <row r="209" spans="1:31" ht="15.75" customHeight="1" x14ac:dyDescent="0.25">
      <c r="A209" s="17" t="s">
        <v>194</v>
      </c>
      <c r="B209" s="3"/>
      <c r="C209" s="3"/>
      <c r="D209" s="3"/>
      <c r="E209" s="3"/>
      <c r="F209" s="3"/>
      <c r="G209" s="3"/>
      <c r="H209" s="3"/>
      <c r="I209" s="3"/>
      <c r="J209" s="3"/>
      <c r="K209" s="3">
        <v>5381.75</v>
      </c>
      <c r="L209" s="3">
        <v>25031.38</v>
      </c>
      <c r="M209" s="3">
        <v>39550.81</v>
      </c>
      <c r="N209" s="3">
        <v>16189</v>
      </c>
      <c r="O209" s="52">
        <v>16176.95</v>
      </c>
      <c r="P209" s="3">
        <v>17000</v>
      </c>
      <c r="Q209" s="42">
        <v>17000</v>
      </c>
      <c r="R209" s="42">
        <v>3195.37</v>
      </c>
      <c r="S209" s="3">
        <v>7000</v>
      </c>
      <c r="T209" s="3">
        <f t="shared" si="77"/>
        <v>10195.369999999999</v>
      </c>
      <c r="U209" s="3">
        <f>+T209-P209</f>
        <v>-6804.630000000001</v>
      </c>
      <c r="V209" s="3">
        <f>+T209-Q209</f>
        <v>-6804.630000000001</v>
      </c>
      <c r="W209" s="3">
        <v>17000</v>
      </c>
      <c r="X209" s="3">
        <f>+W209-P209</f>
        <v>0</v>
      </c>
      <c r="Y209" s="20">
        <f>+X209/P209</f>
        <v>0</v>
      </c>
      <c r="Z209" s="4"/>
      <c r="AA209" s="4"/>
      <c r="AB209" s="5"/>
      <c r="AC209" s="5"/>
      <c r="AD209" s="5"/>
      <c r="AE209" s="5"/>
    </row>
    <row r="210" spans="1:31" ht="15.75" customHeight="1" x14ac:dyDescent="0.25">
      <c r="A210" s="1" t="s">
        <v>42</v>
      </c>
      <c r="B210" s="11">
        <f t="shared" ref="B210:J210" si="78">+B208+B209</f>
        <v>0</v>
      </c>
      <c r="C210" s="11">
        <f t="shared" si="78"/>
        <v>0</v>
      </c>
      <c r="D210" s="11">
        <f t="shared" si="78"/>
        <v>0</v>
      </c>
      <c r="E210" s="11">
        <f t="shared" si="78"/>
        <v>0</v>
      </c>
      <c r="F210" s="11">
        <f t="shared" si="78"/>
        <v>0</v>
      </c>
      <c r="G210" s="11">
        <f t="shared" si="78"/>
        <v>0</v>
      </c>
      <c r="H210" s="11">
        <f t="shared" si="78"/>
        <v>0</v>
      </c>
      <c r="I210" s="11">
        <f t="shared" si="78"/>
        <v>0</v>
      </c>
      <c r="J210" s="11">
        <f t="shared" si="78"/>
        <v>0</v>
      </c>
      <c r="K210" s="11">
        <f>SUM(K209)</f>
        <v>5381.75</v>
      </c>
      <c r="L210" s="11">
        <f t="shared" ref="L210:V210" si="79">SUM(L208:L209)</f>
        <v>129838.55</v>
      </c>
      <c r="M210" s="11">
        <f t="shared" si="79"/>
        <v>123657.19</v>
      </c>
      <c r="N210" s="11">
        <f t="shared" si="79"/>
        <v>91279</v>
      </c>
      <c r="O210" s="53">
        <f t="shared" si="79"/>
        <v>92909.3</v>
      </c>
      <c r="P210" s="11">
        <f t="shared" si="79"/>
        <v>97000</v>
      </c>
      <c r="Q210" s="43">
        <f>SUM(Q208:Q209)</f>
        <v>97000</v>
      </c>
      <c r="R210" s="43">
        <f t="shared" si="79"/>
        <v>81988.51999999999</v>
      </c>
      <c r="S210" s="43">
        <f t="shared" si="79"/>
        <v>9100</v>
      </c>
      <c r="T210" s="43">
        <f t="shared" si="79"/>
        <v>91088.51999999999</v>
      </c>
      <c r="U210" s="43">
        <f t="shared" si="79"/>
        <v>-5911.4800000000068</v>
      </c>
      <c r="V210" s="43">
        <f t="shared" si="79"/>
        <v>-5911.4800000000068</v>
      </c>
      <c r="W210" s="11">
        <f t="shared" ref="W210:X210" si="80">SUM(W208:W209)</f>
        <v>98000</v>
      </c>
      <c r="X210" s="11">
        <f t="shared" si="80"/>
        <v>1000</v>
      </c>
      <c r="Y210" s="12">
        <f>+X210/P210</f>
        <v>1.0309278350515464E-2</v>
      </c>
      <c r="Z210" s="4"/>
      <c r="AA210" s="4"/>
      <c r="AB210" s="5"/>
      <c r="AC210" s="5"/>
      <c r="AD210" s="5"/>
      <c r="AE210" s="5"/>
    </row>
    <row r="211" spans="1:31" ht="15.75" customHeight="1" x14ac:dyDescent="0.25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11"/>
      <c r="L211" s="11"/>
      <c r="M211" s="11"/>
      <c r="N211" s="11"/>
      <c r="O211" s="53"/>
      <c r="P211" s="3"/>
      <c r="Q211" s="43"/>
      <c r="R211" s="43"/>
      <c r="S211" s="3"/>
      <c r="T211" s="3"/>
      <c r="U211" s="3"/>
      <c r="V211" s="3"/>
      <c r="W211" s="3"/>
      <c r="X211" s="3"/>
      <c r="Y211" s="10"/>
      <c r="Z211" s="4"/>
      <c r="AA211" s="4"/>
      <c r="AB211" s="5"/>
      <c r="AC211" s="5"/>
      <c r="AD211" s="5"/>
      <c r="AE211" s="5"/>
    </row>
    <row r="212" spans="1:31" ht="15.75" customHeight="1" x14ac:dyDescent="0.25">
      <c r="A212" s="9" t="s">
        <v>195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52"/>
      <c r="P212" s="3"/>
      <c r="Q212" s="42"/>
      <c r="R212" s="42"/>
      <c r="S212" s="3"/>
      <c r="T212" s="3"/>
      <c r="U212" s="3"/>
      <c r="V212" s="3"/>
      <c r="W212" s="3"/>
      <c r="X212" s="3"/>
      <c r="Y212" s="10"/>
      <c r="Z212" s="4"/>
      <c r="AA212" s="4"/>
      <c r="AB212" s="5"/>
      <c r="AC212" s="5"/>
      <c r="AD212" s="5"/>
      <c r="AE212" s="5"/>
    </row>
    <row r="213" spans="1:31" ht="15.75" customHeight="1" x14ac:dyDescent="0.25">
      <c r="A213" s="17" t="s">
        <v>196</v>
      </c>
      <c r="B213" s="3">
        <v>1860</v>
      </c>
      <c r="C213" s="3">
        <v>2040</v>
      </c>
      <c r="D213" s="3">
        <v>1860</v>
      </c>
      <c r="E213" s="3">
        <v>2019.75</v>
      </c>
      <c r="F213" s="3">
        <v>1920</v>
      </c>
      <c r="G213" s="3">
        <v>1824</v>
      </c>
      <c r="H213" s="3">
        <v>1920</v>
      </c>
      <c r="I213" s="3">
        <v>1860</v>
      </c>
      <c r="J213" s="3">
        <v>1440</v>
      </c>
      <c r="K213" s="3">
        <v>1860</v>
      </c>
      <c r="L213" s="3">
        <v>1937.5</v>
      </c>
      <c r="M213" s="3">
        <v>2566.1999999999998</v>
      </c>
      <c r="N213" s="3">
        <v>2253</v>
      </c>
      <c r="O213" s="52">
        <v>2250.0300000000002</v>
      </c>
      <c r="P213" s="3">
        <v>3552</v>
      </c>
      <c r="Q213" s="42">
        <v>3552</v>
      </c>
      <c r="R213" s="42">
        <v>1707.5</v>
      </c>
      <c r="S213" s="3">
        <f>136.6*8</f>
        <v>1092.8</v>
      </c>
      <c r="T213" s="3">
        <f t="shared" ref="T213:T220" si="81">+R213+S213</f>
        <v>2800.3</v>
      </c>
      <c r="U213" s="3">
        <f t="shared" ref="U213:U220" si="82">+T213-P213</f>
        <v>-751.69999999999982</v>
      </c>
      <c r="V213" s="3">
        <f t="shared" ref="V213:V220" si="83">+T213-Q213</f>
        <v>-751.69999999999982</v>
      </c>
      <c r="W213" s="3">
        <v>2533</v>
      </c>
      <c r="X213" s="3">
        <f t="shared" ref="X213:X220" si="84">+W213-P213</f>
        <v>-1019</v>
      </c>
      <c r="Y213" s="10">
        <f t="shared" ref="Y213:Y218" si="85">+X213/P213</f>
        <v>-0.28688063063063063</v>
      </c>
      <c r="Z213" s="4"/>
      <c r="AA213" s="4"/>
      <c r="AB213" s="5"/>
      <c r="AC213" s="5"/>
      <c r="AD213" s="5"/>
      <c r="AE213" s="5"/>
    </row>
    <row r="214" spans="1:31" ht="15.75" customHeight="1" x14ac:dyDescent="0.25">
      <c r="A214" s="17" t="s">
        <v>197</v>
      </c>
      <c r="B214" s="3">
        <v>38432.04</v>
      </c>
      <c r="C214" s="3">
        <v>55885</v>
      </c>
      <c r="D214" s="3">
        <v>49082.63</v>
      </c>
      <c r="E214" s="3">
        <v>42276.33</v>
      </c>
      <c r="F214" s="3">
        <v>47003</v>
      </c>
      <c r="G214" s="3">
        <v>62357.61</v>
      </c>
      <c r="H214" s="3">
        <v>68019.95</v>
      </c>
      <c r="I214" s="3">
        <v>76433.5</v>
      </c>
      <c r="J214" s="3">
        <v>75302.09</v>
      </c>
      <c r="K214" s="3">
        <v>84158.51</v>
      </c>
      <c r="L214" s="3">
        <v>105970.21</v>
      </c>
      <c r="M214" s="3">
        <v>109825.75</v>
      </c>
      <c r="N214" s="3">
        <v>113610</v>
      </c>
      <c r="O214" s="52">
        <v>112612.01</v>
      </c>
      <c r="P214" s="3">
        <v>93000</v>
      </c>
      <c r="Q214" s="42">
        <v>93000</v>
      </c>
      <c r="R214" s="42">
        <v>65210.85</v>
      </c>
      <c r="S214" s="3">
        <f>+((3076.8+760)*6)+3571+3228+3238</f>
        <v>33057.800000000003</v>
      </c>
      <c r="T214" s="3">
        <f t="shared" si="81"/>
        <v>98268.65</v>
      </c>
      <c r="U214" s="3">
        <f t="shared" si="82"/>
        <v>5268.6499999999942</v>
      </c>
      <c r="V214" s="3">
        <f t="shared" si="83"/>
        <v>5268.6499999999942</v>
      </c>
      <c r="W214" s="3">
        <v>105149</v>
      </c>
      <c r="X214" s="3">
        <f t="shared" si="84"/>
        <v>12149</v>
      </c>
      <c r="Y214" s="10">
        <f t="shared" si="85"/>
        <v>0.13063440860215053</v>
      </c>
      <c r="Z214" s="4" t="s">
        <v>441</v>
      </c>
      <c r="AA214" s="4"/>
      <c r="AB214" s="5"/>
      <c r="AC214" s="5"/>
      <c r="AD214" s="5"/>
      <c r="AE214" s="5"/>
    </row>
    <row r="215" spans="1:31" ht="15.75" customHeight="1" x14ac:dyDescent="0.25">
      <c r="A215" s="17" t="s">
        <v>198</v>
      </c>
      <c r="B215" s="3">
        <v>5396.45</v>
      </c>
      <c r="C215" s="3">
        <v>9686</v>
      </c>
      <c r="D215" s="3">
        <v>10188.459999999999</v>
      </c>
      <c r="E215" s="3">
        <v>857.1</v>
      </c>
      <c r="F215" s="3"/>
      <c r="G215" s="3"/>
      <c r="H215" s="3"/>
      <c r="I215" s="3"/>
      <c r="J215" s="3"/>
      <c r="K215" s="3"/>
      <c r="L215" s="3"/>
      <c r="M215" s="3">
        <v>7552.67</v>
      </c>
      <c r="N215" s="3">
        <v>3018</v>
      </c>
      <c r="O215" s="52">
        <v>0</v>
      </c>
      <c r="P215" s="3">
        <v>1000</v>
      </c>
      <c r="Q215" s="42">
        <v>1000</v>
      </c>
      <c r="R215" s="42">
        <v>1000</v>
      </c>
      <c r="S215" s="3"/>
      <c r="T215" s="3">
        <f t="shared" si="81"/>
        <v>1000</v>
      </c>
      <c r="U215" s="3">
        <f t="shared" si="82"/>
        <v>0</v>
      </c>
      <c r="V215" s="3">
        <f t="shared" si="83"/>
        <v>0</v>
      </c>
      <c r="W215" s="3">
        <v>1000</v>
      </c>
      <c r="X215" s="3">
        <f t="shared" si="84"/>
        <v>0</v>
      </c>
      <c r="Y215" s="10">
        <f t="shared" si="85"/>
        <v>0</v>
      </c>
      <c r="Z215" s="4"/>
      <c r="AA215" s="4"/>
      <c r="AB215" s="5"/>
      <c r="AC215" s="5"/>
      <c r="AD215" s="5"/>
      <c r="AE215" s="5"/>
    </row>
    <row r="216" spans="1:31" ht="15.75" customHeight="1" x14ac:dyDescent="0.25">
      <c r="A216" s="17" t="s">
        <v>199</v>
      </c>
      <c r="B216" s="3"/>
      <c r="C216" s="3"/>
      <c r="D216" s="3"/>
      <c r="E216" s="3">
        <v>1729.98</v>
      </c>
      <c r="F216" s="3">
        <v>10199</v>
      </c>
      <c r="G216" s="3">
        <v>3884.99</v>
      </c>
      <c r="H216" s="3"/>
      <c r="I216" s="3">
        <v>4378.3599999999997</v>
      </c>
      <c r="J216" s="3">
        <v>3330</v>
      </c>
      <c r="K216" s="3">
        <v>902.96</v>
      </c>
      <c r="L216" s="3">
        <v>584.99</v>
      </c>
      <c r="M216" s="3">
        <v>3905</v>
      </c>
      <c r="N216" s="3">
        <v>785</v>
      </c>
      <c r="O216" s="52">
        <v>0</v>
      </c>
      <c r="P216" s="3">
        <v>5000</v>
      </c>
      <c r="Q216" s="42">
        <v>5000</v>
      </c>
      <c r="R216" s="42">
        <v>0</v>
      </c>
      <c r="S216" s="3"/>
      <c r="T216" s="3">
        <f t="shared" si="81"/>
        <v>0</v>
      </c>
      <c r="U216" s="3">
        <f t="shared" si="82"/>
        <v>-5000</v>
      </c>
      <c r="V216" s="3">
        <f t="shared" si="83"/>
        <v>-5000</v>
      </c>
      <c r="W216" s="3">
        <v>5000</v>
      </c>
      <c r="X216" s="3">
        <f t="shared" si="84"/>
        <v>0</v>
      </c>
      <c r="Y216" s="10">
        <f t="shared" si="85"/>
        <v>0</v>
      </c>
      <c r="Z216" s="4"/>
      <c r="AA216" s="4"/>
      <c r="AB216" s="5"/>
      <c r="AC216" s="5"/>
      <c r="AD216" s="5"/>
      <c r="AE216" s="5"/>
    </row>
    <row r="217" spans="1:31" ht="15.75" customHeight="1" x14ac:dyDescent="0.25">
      <c r="A217" s="5" t="s">
        <v>200</v>
      </c>
      <c r="B217" s="3">
        <v>12073.08</v>
      </c>
      <c r="C217" s="3">
        <v>22403</v>
      </c>
      <c r="D217" s="3">
        <v>15423.88</v>
      </c>
      <c r="E217" s="3">
        <v>16448.060000000001</v>
      </c>
      <c r="F217" s="3">
        <v>21657.14</v>
      </c>
      <c r="G217" s="3">
        <v>23058.51</v>
      </c>
      <c r="H217" s="3">
        <v>21272.82</v>
      </c>
      <c r="I217" s="3">
        <v>22013.54</v>
      </c>
      <c r="J217" s="3">
        <v>18666.490000000002</v>
      </c>
      <c r="K217" s="3">
        <v>21120.639999999999</v>
      </c>
      <c r="L217" s="3">
        <v>20409.060000000001</v>
      </c>
      <c r="M217" s="3">
        <v>23510.99</v>
      </c>
      <c r="N217" s="3">
        <v>14197</v>
      </c>
      <c r="O217" s="52">
        <v>16809.13</v>
      </c>
      <c r="P217" s="3">
        <v>15000</v>
      </c>
      <c r="Q217" s="42">
        <v>15000</v>
      </c>
      <c r="R217" s="42">
        <v>9388.83</v>
      </c>
      <c r="S217" s="3">
        <v>9600</v>
      </c>
      <c r="T217" s="3">
        <f t="shared" si="81"/>
        <v>18988.830000000002</v>
      </c>
      <c r="U217" s="3">
        <f t="shared" si="82"/>
        <v>3988.8300000000017</v>
      </c>
      <c r="V217" s="3">
        <f t="shared" si="83"/>
        <v>3988.8300000000017</v>
      </c>
      <c r="W217" s="3">
        <v>19000</v>
      </c>
      <c r="X217" s="3">
        <f t="shared" si="84"/>
        <v>4000</v>
      </c>
      <c r="Y217" s="10">
        <f t="shared" si="85"/>
        <v>0.26666666666666666</v>
      </c>
      <c r="Z217" s="4"/>
      <c r="AA217" s="4"/>
      <c r="AB217" s="5"/>
      <c r="AC217" s="5"/>
      <c r="AD217" s="5"/>
      <c r="AE217" s="5"/>
    </row>
    <row r="218" spans="1:31" ht="15.75" customHeight="1" x14ac:dyDescent="0.25">
      <c r="A218" s="5" t="s">
        <v>201</v>
      </c>
      <c r="B218" s="3">
        <v>4409.1099999999997</v>
      </c>
      <c r="C218" s="3">
        <v>5032</v>
      </c>
      <c r="D218" s="3">
        <v>6198.79</v>
      </c>
      <c r="E218" s="3">
        <v>8245.57</v>
      </c>
      <c r="F218" s="3">
        <v>4548.3599999999997</v>
      </c>
      <c r="G218" s="3">
        <v>7781.26</v>
      </c>
      <c r="H218" s="3">
        <v>11559.8</v>
      </c>
      <c r="I218" s="3">
        <v>6674.6</v>
      </c>
      <c r="J218" s="3">
        <v>9377.14</v>
      </c>
      <c r="K218" s="3">
        <v>6735.5</v>
      </c>
      <c r="L218" s="3">
        <v>9479.6299999999992</v>
      </c>
      <c r="M218" s="3">
        <v>42431.14</v>
      </c>
      <c r="N218" s="3">
        <v>19290</v>
      </c>
      <c r="O218" s="52">
        <v>7464.76</v>
      </c>
      <c r="P218" s="3">
        <v>10000</v>
      </c>
      <c r="Q218" s="42">
        <v>10000</v>
      </c>
      <c r="R218" s="42">
        <v>2608.5500000000002</v>
      </c>
      <c r="S218" s="3">
        <v>3800</v>
      </c>
      <c r="T218" s="3">
        <f t="shared" si="81"/>
        <v>6408.55</v>
      </c>
      <c r="U218" s="3">
        <f t="shared" si="82"/>
        <v>-3591.45</v>
      </c>
      <c r="V218" s="3">
        <f t="shared" si="83"/>
        <v>-3591.45</v>
      </c>
      <c r="W218" s="3">
        <v>8500</v>
      </c>
      <c r="X218" s="3">
        <f t="shared" si="84"/>
        <v>-1500</v>
      </c>
      <c r="Y218" s="10">
        <f t="shared" si="85"/>
        <v>-0.15</v>
      </c>
      <c r="Z218" s="4"/>
      <c r="AA218" s="4"/>
      <c r="AB218" s="5"/>
      <c r="AC218" s="5"/>
      <c r="AD218" s="5"/>
      <c r="AE218" s="5"/>
    </row>
    <row r="219" spans="1:31" ht="15.75" customHeight="1" x14ac:dyDescent="0.25">
      <c r="A219" s="5" t="s">
        <v>202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>
        <v>10709.55</v>
      </c>
      <c r="N219" s="3">
        <v>0</v>
      </c>
      <c r="O219" s="52"/>
      <c r="P219" s="3"/>
      <c r="Q219" s="42"/>
      <c r="R219" s="42"/>
      <c r="S219" s="3"/>
      <c r="T219" s="3">
        <f t="shared" si="81"/>
        <v>0</v>
      </c>
      <c r="U219" s="3">
        <f t="shared" si="82"/>
        <v>0</v>
      </c>
      <c r="V219" s="3">
        <f t="shared" si="83"/>
        <v>0</v>
      </c>
      <c r="W219" s="3"/>
      <c r="X219" s="3">
        <f t="shared" si="84"/>
        <v>0</v>
      </c>
      <c r="Y219" s="10"/>
      <c r="Z219" s="4"/>
      <c r="AA219" s="4"/>
      <c r="AB219" s="5"/>
      <c r="AC219" s="5"/>
      <c r="AD219" s="5"/>
      <c r="AE219" s="5"/>
    </row>
    <row r="220" spans="1:31" ht="15.75" hidden="1" customHeight="1" x14ac:dyDescent="0.25">
      <c r="A220" s="5" t="s">
        <v>203</v>
      </c>
      <c r="B220" s="3">
        <v>140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52"/>
      <c r="P220" s="3"/>
      <c r="Q220" s="42"/>
      <c r="R220" s="42"/>
      <c r="S220" s="3"/>
      <c r="T220" s="3">
        <f t="shared" si="81"/>
        <v>0</v>
      </c>
      <c r="U220" s="3">
        <f t="shared" si="82"/>
        <v>0</v>
      </c>
      <c r="V220" s="3">
        <f t="shared" si="83"/>
        <v>0</v>
      </c>
      <c r="W220" s="3"/>
      <c r="X220" s="3">
        <f t="shared" si="84"/>
        <v>0</v>
      </c>
      <c r="Y220" s="10"/>
      <c r="Z220" s="4"/>
      <c r="AA220" s="4"/>
      <c r="AB220" s="5"/>
      <c r="AC220" s="5"/>
      <c r="AD220" s="5"/>
      <c r="AE220" s="5"/>
    </row>
    <row r="221" spans="1:31" ht="15.75" customHeight="1" x14ac:dyDescent="0.25">
      <c r="A221" s="1" t="s">
        <v>42</v>
      </c>
      <c r="B221" s="11">
        <f t="shared" ref="B221:X221" si="86">SUM(B213:B220)</f>
        <v>62310.68</v>
      </c>
      <c r="C221" s="11">
        <f t="shared" si="86"/>
        <v>95046</v>
      </c>
      <c r="D221" s="11">
        <f t="shared" si="86"/>
        <v>82753.759999999995</v>
      </c>
      <c r="E221" s="11">
        <f t="shared" si="86"/>
        <v>71576.790000000008</v>
      </c>
      <c r="F221" s="11">
        <f t="shared" si="86"/>
        <v>85327.5</v>
      </c>
      <c r="G221" s="11">
        <f t="shared" si="86"/>
        <v>98906.37</v>
      </c>
      <c r="H221" s="11">
        <f t="shared" si="86"/>
        <v>102772.56999999999</v>
      </c>
      <c r="I221" s="11">
        <f t="shared" si="86"/>
        <v>111360</v>
      </c>
      <c r="J221" s="11">
        <f t="shared" si="86"/>
        <v>108115.72</v>
      </c>
      <c r="K221" s="11">
        <f t="shared" si="86"/>
        <v>114777.61</v>
      </c>
      <c r="L221" s="11">
        <f t="shared" si="86"/>
        <v>138381.39000000001</v>
      </c>
      <c r="M221" s="11">
        <f t="shared" si="86"/>
        <v>200501.3</v>
      </c>
      <c r="N221" s="11">
        <f t="shared" si="86"/>
        <v>153153</v>
      </c>
      <c r="O221" s="53">
        <f t="shared" si="86"/>
        <v>139135.93</v>
      </c>
      <c r="P221" s="11">
        <f t="shared" si="86"/>
        <v>127552</v>
      </c>
      <c r="Q221" s="43">
        <f>SUM(Q213:Q220)</f>
        <v>127552</v>
      </c>
      <c r="R221" s="43">
        <f t="shared" si="86"/>
        <v>79915.73000000001</v>
      </c>
      <c r="S221" s="11">
        <f t="shared" si="86"/>
        <v>47550.600000000006</v>
      </c>
      <c r="T221" s="11">
        <f t="shared" si="86"/>
        <v>127466.33</v>
      </c>
      <c r="U221" s="11">
        <f t="shared" si="86"/>
        <v>-85.670000000003711</v>
      </c>
      <c r="V221" s="11">
        <f t="shared" si="86"/>
        <v>-85.670000000003711</v>
      </c>
      <c r="W221" s="11">
        <f t="shared" si="86"/>
        <v>141182</v>
      </c>
      <c r="X221" s="11">
        <f t="shared" si="86"/>
        <v>13630</v>
      </c>
      <c r="Y221" s="12">
        <f>+X221/P221</f>
        <v>0.10685837932764676</v>
      </c>
      <c r="Z221" s="4"/>
      <c r="AA221" s="4"/>
      <c r="AB221" s="5"/>
      <c r="AC221" s="5"/>
      <c r="AD221" s="5"/>
      <c r="AE221" s="5"/>
    </row>
    <row r="222" spans="1:31" ht="15.75" customHeight="1" x14ac:dyDescent="0.25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52"/>
      <c r="P222" s="3"/>
      <c r="Q222" s="42"/>
      <c r="R222" s="42"/>
      <c r="S222" s="3"/>
      <c r="T222" s="3"/>
      <c r="U222" s="3"/>
      <c r="V222" s="3"/>
      <c r="W222" s="3"/>
      <c r="X222" s="3"/>
      <c r="Y222" s="10"/>
      <c r="Z222" s="4"/>
      <c r="AA222" s="4"/>
      <c r="AB222" s="5"/>
      <c r="AC222" s="5"/>
      <c r="AD222" s="5"/>
      <c r="AE222" s="5"/>
    </row>
    <row r="223" spans="1:31" ht="15.75" customHeight="1" x14ac:dyDescent="0.25">
      <c r="A223" s="9" t="s">
        <v>204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52"/>
      <c r="P223" s="3"/>
      <c r="Q223" s="42"/>
      <c r="R223" s="42"/>
      <c r="S223" s="3"/>
      <c r="T223" s="3"/>
      <c r="U223" s="3"/>
      <c r="V223" s="3"/>
      <c r="W223" s="3"/>
      <c r="X223" s="3"/>
      <c r="Y223" s="10"/>
      <c r="Z223" s="4"/>
      <c r="AA223" s="4"/>
      <c r="AB223" s="5"/>
      <c r="AC223" s="5"/>
      <c r="AD223" s="5"/>
      <c r="AE223" s="5"/>
    </row>
    <row r="224" spans="1:31" ht="15.75" customHeight="1" x14ac:dyDescent="0.25">
      <c r="A224" s="5" t="s">
        <v>205</v>
      </c>
      <c r="B224" s="3"/>
      <c r="C224" s="3"/>
      <c r="D224" s="3"/>
      <c r="E224" s="3">
        <v>526.98</v>
      </c>
      <c r="F224" s="3">
        <v>1639.05</v>
      </c>
      <c r="G224" s="3">
        <v>1497.87</v>
      </c>
      <c r="H224" s="3">
        <v>1093.9000000000001</v>
      </c>
      <c r="I224" s="3">
        <v>1453.71</v>
      </c>
      <c r="J224" s="3">
        <v>1498.17</v>
      </c>
      <c r="K224" s="3"/>
      <c r="L224" s="3">
        <v>424.7</v>
      </c>
      <c r="M224" s="3">
        <v>3016.18</v>
      </c>
      <c r="N224" s="3">
        <v>12869</v>
      </c>
      <c r="O224" s="52">
        <v>13101.9</v>
      </c>
      <c r="P224" s="3">
        <v>14000</v>
      </c>
      <c r="Q224" s="42">
        <v>14000</v>
      </c>
      <c r="R224" s="42">
        <v>8330.2199999999993</v>
      </c>
      <c r="S224" s="3">
        <f>3500+1200+1200</f>
        <v>5900</v>
      </c>
      <c r="T224" s="3">
        <f t="shared" ref="T224:T227" si="87">+R224+S224</f>
        <v>14230.22</v>
      </c>
      <c r="U224" s="3">
        <f>+T224-P224</f>
        <v>230.21999999999935</v>
      </c>
      <c r="V224" s="3">
        <f>+T224-Q224</f>
        <v>230.21999999999935</v>
      </c>
      <c r="W224" s="3">
        <v>14300</v>
      </c>
      <c r="X224" s="3">
        <f>+W224-P224</f>
        <v>300</v>
      </c>
      <c r="Y224" s="10">
        <f>+X224/P224</f>
        <v>2.1428571428571429E-2</v>
      </c>
      <c r="Z224" s="4" t="s">
        <v>206</v>
      </c>
      <c r="AA224" s="4"/>
      <c r="AB224" s="5"/>
      <c r="AC224" s="5"/>
      <c r="AD224" s="5"/>
      <c r="AE224" s="5"/>
    </row>
    <row r="225" spans="1:31" ht="15.75" hidden="1" customHeight="1" x14ac:dyDescent="0.25">
      <c r="A225" s="5" t="s">
        <v>207</v>
      </c>
      <c r="B225" s="3"/>
      <c r="C225" s="3"/>
      <c r="D225" s="3"/>
      <c r="E225" s="3"/>
      <c r="F225" s="3"/>
      <c r="G225" s="3"/>
      <c r="H225" s="3"/>
      <c r="I225" s="3"/>
      <c r="J225" s="3">
        <v>1045.22</v>
      </c>
      <c r="K225" s="3"/>
      <c r="L225" s="3"/>
      <c r="M225" s="3"/>
      <c r="N225" s="3"/>
      <c r="O225" s="52"/>
      <c r="P225" s="3"/>
      <c r="Q225" s="42"/>
      <c r="R225" s="42"/>
      <c r="S225" s="3"/>
      <c r="T225" s="3">
        <f t="shared" si="87"/>
        <v>0</v>
      </c>
      <c r="U225" s="3">
        <f>+T225-P225</f>
        <v>0</v>
      </c>
      <c r="V225" s="3">
        <f>+T225-Q225</f>
        <v>0</v>
      </c>
      <c r="W225" s="3"/>
      <c r="X225" s="3"/>
      <c r="Y225" s="10"/>
      <c r="Z225" s="4"/>
      <c r="AA225" s="4"/>
      <c r="AB225" s="5"/>
      <c r="AC225" s="5"/>
      <c r="AD225" s="5"/>
      <c r="AE225" s="5"/>
    </row>
    <row r="226" spans="1:31" ht="15.75" customHeight="1" x14ac:dyDescent="0.25">
      <c r="A226" s="17" t="s">
        <v>208</v>
      </c>
      <c r="B226" s="3">
        <v>4954.1499999999996</v>
      </c>
      <c r="C226" s="3">
        <v>3142.54</v>
      </c>
      <c r="D226" s="3">
        <v>2704.29</v>
      </c>
      <c r="E226" s="3">
        <v>2706.16</v>
      </c>
      <c r="F226" s="3">
        <v>1782.17</v>
      </c>
      <c r="G226" s="3">
        <v>1729.26</v>
      </c>
      <c r="H226" s="3">
        <v>1433.45</v>
      </c>
      <c r="I226" s="3">
        <v>2174.71</v>
      </c>
      <c r="J226" s="3">
        <v>314.57</v>
      </c>
      <c r="K226" s="3">
        <v>3344</v>
      </c>
      <c r="L226" s="3">
        <v>3964.64</v>
      </c>
      <c r="M226" s="3"/>
      <c r="N226" s="3">
        <v>684</v>
      </c>
      <c r="O226" s="52"/>
      <c r="P226" s="3"/>
      <c r="Q226" s="42"/>
      <c r="R226" s="42"/>
      <c r="S226" s="3"/>
      <c r="T226" s="3">
        <f t="shared" si="87"/>
        <v>0</v>
      </c>
      <c r="U226" s="3">
        <f>+T226-P226</f>
        <v>0</v>
      </c>
      <c r="V226" s="3">
        <f>+T226-Q226</f>
        <v>0</v>
      </c>
      <c r="W226" s="3"/>
      <c r="X226" s="3">
        <f>+W226-P226</f>
        <v>0</v>
      </c>
      <c r="Y226" s="10"/>
      <c r="Z226" s="4"/>
      <c r="AA226" s="4"/>
      <c r="AB226" s="5"/>
      <c r="AC226" s="5"/>
      <c r="AD226" s="5"/>
      <c r="AE226" s="5"/>
    </row>
    <row r="227" spans="1:31" ht="15.75" customHeight="1" x14ac:dyDescent="0.25">
      <c r="A227" s="17" t="s">
        <v>209</v>
      </c>
      <c r="B227" s="3">
        <v>4639.3100000000004</v>
      </c>
      <c r="C227" s="3">
        <v>4148</v>
      </c>
      <c r="D227" s="3">
        <v>6441.77</v>
      </c>
      <c r="E227" s="3">
        <v>4505.8900000000003</v>
      </c>
      <c r="F227" s="3">
        <v>2424.4</v>
      </c>
      <c r="G227" s="3">
        <v>1645.53</v>
      </c>
      <c r="H227" s="3">
        <v>2609.62</v>
      </c>
      <c r="I227" s="3">
        <v>2966.64</v>
      </c>
      <c r="J227" s="3">
        <v>8609.6299999999992</v>
      </c>
      <c r="K227" s="3">
        <v>2658.12</v>
      </c>
      <c r="L227" s="3">
        <v>2815</v>
      </c>
      <c r="M227" s="3">
        <v>1970</v>
      </c>
      <c r="N227" s="3">
        <v>1310</v>
      </c>
      <c r="O227" s="52">
        <v>880</v>
      </c>
      <c r="P227" s="3">
        <v>1500</v>
      </c>
      <c r="Q227" s="42">
        <v>1500</v>
      </c>
      <c r="R227" s="42">
        <v>870</v>
      </c>
      <c r="S227" s="3">
        <v>0</v>
      </c>
      <c r="T227" s="3">
        <f t="shared" si="87"/>
        <v>870</v>
      </c>
      <c r="U227" s="3">
        <f>+T227-P227</f>
        <v>-630</v>
      </c>
      <c r="V227" s="3">
        <f>+T227-Q227</f>
        <v>-630</v>
      </c>
      <c r="W227" s="3">
        <v>1000</v>
      </c>
      <c r="X227" s="3">
        <f>+W227-P227</f>
        <v>-500</v>
      </c>
      <c r="Y227" s="10">
        <f>+X227/P227</f>
        <v>-0.33333333333333331</v>
      </c>
      <c r="Z227" s="4"/>
      <c r="AA227" s="4"/>
      <c r="AB227" s="5"/>
      <c r="AC227" s="3"/>
      <c r="AD227" s="5"/>
      <c r="AE227" s="5"/>
    </row>
    <row r="228" spans="1:31" ht="15.75" customHeight="1" x14ac:dyDescent="0.25">
      <c r="A228" s="1" t="s">
        <v>42</v>
      </c>
      <c r="B228" s="11">
        <f t="shared" ref="B228:X228" si="88">SUM(B224:B227)</f>
        <v>9593.4599999999991</v>
      </c>
      <c r="C228" s="11">
        <f t="shared" si="88"/>
        <v>7290.54</v>
      </c>
      <c r="D228" s="11">
        <f t="shared" si="88"/>
        <v>9146.0600000000013</v>
      </c>
      <c r="E228" s="11">
        <f t="shared" si="88"/>
        <v>7739.0300000000007</v>
      </c>
      <c r="F228" s="11">
        <f t="shared" si="88"/>
        <v>5845.6200000000008</v>
      </c>
      <c r="G228" s="11">
        <f t="shared" si="88"/>
        <v>4872.66</v>
      </c>
      <c r="H228" s="11">
        <f t="shared" si="88"/>
        <v>5136.97</v>
      </c>
      <c r="I228" s="11">
        <f t="shared" si="88"/>
        <v>6595.0599999999995</v>
      </c>
      <c r="J228" s="11">
        <f t="shared" si="88"/>
        <v>11467.59</v>
      </c>
      <c r="K228" s="11">
        <f t="shared" si="88"/>
        <v>6002.12</v>
      </c>
      <c r="L228" s="11">
        <f t="shared" si="88"/>
        <v>7204.34</v>
      </c>
      <c r="M228" s="11">
        <f t="shared" si="88"/>
        <v>4986.18</v>
      </c>
      <c r="N228" s="11">
        <f t="shared" si="88"/>
        <v>14863</v>
      </c>
      <c r="O228" s="53">
        <f t="shared" si="88"/>
        <v>13981.9</v>
      </c>
      <c r="P228" s="11">
        <f t="shared" si="88"/>
        <v>15500</v>
      </c>
      <c r="Q228" s="43">
        <f>SUM(Q224:Q227)</f>
        <v>15500</v>
      </c>
      <c r="R228" s="43">
        <f t="shared" si="88"/>
        <v>9200.2199999999993</v>
      </c>
      <c r="S228" s="11">
        <f t="shared" si="88"/>
        <v>5900</v>
      </c>
      <c r="T228" s="11">
        <f t="shared" si="88"/>
        <v>15100.22</v>
      </c>
      <c r="U228" s="11">
        <f t="shared" si="88"/>
        <v>-399.78000000000065</v>
      </c>
      <c r="V228" s="11">
        <f t="shared" si="88"/>
        <v>-399.78000000000065</v>
      </c>
      <c r="W228" s="11">
        <f t="shared" si="88"/>
        <v>15300</v>
      </c>
      <c r="X228" s="11">
        <f t="shared" si="88"/>
        <v>-200</v>
      </c>
      <c r="Y228" s="15">
        <f>+X228/P228</f>
        <v>-1.2903225806451613E-2</v>
      </c>
      <c r="Z228" s="4"/>
      <c r="AA228" s="4"/>
      <c r="AB228" s="5"/>
      <c r="AC228" s="5"/>
      <c r="AD228" s="5"/>
      <c r="AE228" s="5"/>
    </row>
    <row r="229" spans="1:31" ht="15.75" customHeight="1" x14ac:dyDescent="0.25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52"/>
      <c r="P229" s="3"/>
      <c r="Q229" s="42"/>
      <c r="R229" s="42"/>
      <c r="S229" s="3"/>
      <c r="T229" s="3"/>
      <c r="U229" s="3"/>
      <c r="V229" s="3"/>
      <c r="W229" s="3"/>
      <c r="X229" s="3"/>
      <c r="Y229" s="10"/>
      <c r="Z229" s="4"/>
      <c r="AA229" s="4"/>
      <c r="AB229" s="5"/>
      <c r="AC229" s="5"/>
      <c r="AD229" s="5"/>
      <c r="AE229" s="5"/>
    </row>
    <row r="230" spans="1:31" ht="15.75" customHeight="1" x14ac:dyDescent="0.25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52"/>
      <c r="P230" s="3"/>
      <c r="Q230" s="42"/>
      <c r="R230" s="42"/>
      <c r="S230" s="3"/>
      <c r="T230" s="3"/>
      <c r="U230" s="3"/>
      <c r="V230" s="3"/>
      <c r="W230" s="3"/>
      <c r="X230" s="3"/>
      <c r="Y230" s="10"/>
      <c r="Z230" s="4"/>
      <c r="AA230" s="4"/>
      <c r="AB230" s="5"/>
      <c r="AC230" s="5"/>
      <c r="AD230" s="5"/>
      <c r="AE230" s="5"/>
    </row>
    <row r="231" spans="1:31" ht="15.75" customHeight="1" x14ac:dyDescent="0.25">
      <c r="A231" s="9" t="s">
        <v>210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52"/>
      <c r="P231" s="3"/>
      <c r="Q231" s="42"/>
      <c r="R231" s="42"/>
      <c r="S231" s="3"/>
      <c r="T231" s="3"/>
      <c r="U231" s="3"/>
      <c r="V231" s="3"/>
      <c r="W231" s="3"/>
      <c r="X231" s="3"/>
      <c r="Y231" s="10"/>
      <c r="Z231" s="4"/>
      <c r="AA231" s="4"/>
      <c r="AB231" s="5"/>
      <c r="AC231" s="5"/>
      <c r="AD231" s="5"/>
      <c r="AE231" s="5"/>
    </row>
    <row r="232" spans="1:31" ht="15.75" customHeight="1" x14ac:dyDescent="0.25">
      <c r="A232" s="17" t="s">
        <v>211</v>
      </c>
      <c r="B232" s="3">
        <v>15445.31</v>
      </c>
      <c r="C232" s="3">
        <v>14242</v>
      </c>
      <c r="D232" s="3">
        <v>14792.24</v>
      </c>
      <c r="E232" s="3">
        <v>16405.72</v>
      </c>
      <c r="F232" s="3">
        <v>17050.509999999998</v>
      </c>
      <c r="G232" s="3">
        <v>23416.81</v>
      </c>
      <c r="H232" s="3">
        <v>23944.43</v>
      </c>
      <c r="I232" s="3">
        <v>23163.83</v>
      </c>
      <c r="J232" s="3">
        <v>27517.119999999999</v>
      </c>
      <c r="K232" s="3">
        <v>8890.68</v>
      </c>
      <c r="L232" s="3">
        <v>31805.75</v>
      </c>
      <c r="M232" s="3">
        <v>33835.230000000003</v>
      </c>
      <c r="N232" s="3">
        <v>46583</v>
      </c>
      <c r="O232" s="52">
        <v>25314.26</v>
      </c>
      <c r="P232" s="3">
        <v>30000</v>
      </c>
      <c r="Q232" s="42">
        <v>30000</v>
      </c>
      <c r="R232" s="42">
        <v>24673.99</v>
      </c>
      <c r="S232" s="3">
        <v>0</v>
      </c>
      <c r="T232" s="3">
        <f t="shared" ref="T232:T235" si="89">+R232+S232</f>
        <v>24673.99</v>
      </c>
      <c r="U232" s="3">
        <f>+T232-P232</f>
        <v>-5326.0099999999984</v>
      </c>
      <c r="V232" s="3">
        <f>+T232-Q232</f>
        <v>-5326.0099999999984</v>
      </c>
      <c r="W232" s="3">
        <v>49000</v>
      </c>
      <c r="X232" s="3">
        <f>+W232-P232</f>
        <v>19000</v>
      </c>
      <c r="Y232" s="10">
        <f>+X232/P232</f>
        <v>0.6333333333333333</v>
      </c>
      <c r="Z232" s="4" t="s">
        <v>438</v>
      </c>
      <c r="AA232" s="4"/>
      <c r="AB232" s="5"/>
      <c r="AC232" s="5"/>
      <c r="AD232" s="5"/>
      <c r="AE232" s="5"/>
    </row>
    <row r="233" spans="1:31" ht="15.75" customHeight="1" x14ac:dyDescent="0.25">
      <c r="A233" s="17" t="s">
        <v>212</v>
      </c>
      <c r="B233" s="3"/>
      <c r="C233" s="3"/>
      <c r="D233" s="3"/>
      <c r="E233" s="3"/>
      <c r="F233" s="3"/>
      <c r="G233" s="3">
        <v>108210.2</v>
      </c>
      <c r="H233" s="3">
        <v>80782.100000000006</v>
      </c>
      <c r="I233" s="3">
        <v>76193.009999999995</v>
      </c>
      <c r="J233" s="3"/>
      <c r="K233" s="3">
        <v>3000</v>
      </c>
      <c r="L233" s="3">
        <v>607.58000000000004</v>
      </c>
      <c r="M233" s="3">
        <v>1500</v>
      </c>
      <c r="N233" s="3">
        <v>0</v>
      </c>
      <c r="O233" s="52"/>
      <c r="P233" s="3"/>
      <c r="Q233" s="42"/>
      <c r="R233" s="42"/>
      <c r="S233" s="3"/>
      <c r="T233" s="3">
        <f t="shared" si="89"/>
        <v>0</v>
      </c>
      <c r="U233" s="3">
        <f>+T233-P233</f>
        <v>0</v>
      </c>
      <c r="V233" s="3">
        <f>+T233-Q233</f>
        <v>0</v>
      </c>
      <c r="W233" s="3"/>
      <c r="X233" s="3">
        <f>+W233-P233</f>
        <v>0</v>
      </c>
      <c r="Y233" s="10"/>
      <c r="Z233" s="4"/>
      <c r="AA233" s="4"/>
      <c r="AB233" s="5"/>
      <c r="AC233" s="5"/>
      <c r="AD233" s="5"/>
      <c r="AE233" s="5"/>
    </row>
    <row r="234" spans="1:31" ht="15.75" customHeight="1" x14ac:dyDescent="0.25">
      <c r="A234" s="17" t="s">
        <v>213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52">
        <v>3486.32</v>
      </c>
      <c r="P234" s="3">
        <v>4000</v>
      </c>
      <c r="Q234" s="42">
        <v>4000</v>
      </c>
      <c r="R234" s="42">
        <v>1741.44</v>
      </c>
      <c r="S234" s="3">
        <v>30</v>
      </c>
      <c r="T234" s="3">
        <f t="shared" si="89"/>
        <v>1771.44</v>
      </c>
      <c r="U234" s="3">
        <f>+T234-P234</f>
        <v>-2228.56</v>
      </c>
      <c r="V234" s="3">
        <f>+T234-Q234</f>
        <v>-2228.56</v>
      </c>
      <c r="W234" s="3">
        <v>4000</v>
      </c>
      <c r="X234" s="3">
        <f>+W234-P234</f>
        <v>0</v>
      </c>
      <c r="Y234" s="10"/>
      <c r="Z234" s="4"/>
      <c r="AA234" s="4"/>
      <c r="AB234" s="5"/>
      <c r="AC234" s="5"/>
      <c r="AD234" s="5"/>
      <c r="AE234" s="5"/>
    </row>
    <row r="235" spans="1:31" ht="15.75" customHeight="1" x14ac:dyDescent="0.25">
      <c r="A235" s="17" t="s">
        <v>214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>
        <v>5976</v>
      </c>
      <c r="O235" s="52">
        <v>11252.93</v>
      </c>
      <c r="P235" s="3">
        <v>8700</v>
      </c>
      <c r="Q235" s="42">
        <v>8700</v>
      </c>
      <c r="R235" s="42">
        <v>5989.26</v>
      </c>
      <c r="S235" s="3">
        <v>1900</v>
      </c>
      <c r="T235" s="3">
        <f t="shared" si="89"/>
        <v>7889.26</v>
      </c>
      <c r="U235" s="3">
        <f>+T235-P235</f>
        <v>-810.73999999999978</v>
      </c>
      <c r="V235" s="3">
        <f>+T235-Q235</f>
        <v>-810.73999999999978</v>
      </c>
      <c r="W235" s="3">
        <v>0</v>
      </c>
      <c r="X235" s="3">
        <f>+W235-P235</f>
        <v>-8700</v>
      </c>
      <c r="Y235" s="10">
        <f>+X235/P235</f>
        <v>-1</v>
      </c>
      <c r="Z235" s="4" t="s">
        <v>426</v>
      </c>
      <c r="AA235" s="4"/>
      <c r="AB235" s="5"/>
      <c r="AC235" s="5"/>
      <c r="AD235" s="5"/>
      <c r="AE235" s="5"/>
    </row>
    <row r="236" spans="1:31" ht="15.75" customHeight="1" x14ac:dyDescent="0.25">
      <c r="A236" s="1" t="s">
        <v>42</v>
      </c>
      <c r="B236" s="11">
        <f t="shared" ref="B236:F236" si="90">+B232</f>
        <v>15445.31</v>
      </c>
      <c r="C236" s="11">
        <f t="shared" si="90"/>
        <v>14242</v>
      </c>
      <c r="D236" s="11">
        <f t="shared" si="90"/>
        <v>14792.24</v>
      </c>
      <c r="E236" s="11">
        <f t="shared" si="90"/>
        <v>16405.72</v>
      </c>
      <c r="F236" s="11">
        <f t="shared" si="90"/>
        <v>17050.509999999998</v>
      </c>
      <c r="G236" s="11">
        <f>SUM(G232:G233)</f>
        <v>131627.01</v>
      </c>
      <c r="H236" s="11">
        <f t="shared" ref="H236:J236" si="91">SUM(H232:H235)</f>
        <v>104726.53</v>
      </c>
      <c r="I236" s="11">
        <f t="shared" si="91"/>
        <v>99356.84</v>
      </c>
      <c r="J236" s="11">
        <f t="shared" si="91"/>
        <v>27517.119999999999</v>
      </c>
      <c r="K236" s="11">
        <f t="shared" ref="K236:M236" si="92">+K232+K233</f>
        <v>11890.68</v>
      </c>
      <c r="L236" s="11">
        <f t="shared" si="92"/>
        <v>32413.33</v>
      </c>
      <c r="M236" s="11">
        <f t="shared" si="92"/>
        <v>35335.230000000003</v>
      </c>
      <c r="N236" s="11">
        <f t="shared" ref="N236:W236" si="93">SUM(N232:N235)</f>
        <v>52559</v>
      </c>
      <c r="O236" s="53">
        <f t="shared" si="93"/>
        <v>40053.509999999995</v>
      </c>
      <c r="P236" s="11">
        <f t="shared" si="93"/>
        <v>42700</v>
      </c>
      <c r="Q236" s="43">
        <f>SUM(Q232:Q235)</f>
        <v>42700</v>
      </c>
      <c r="R236" s="43">
        <f t="shared" si="93"/>
        <v>32404.690000000002</v>
      </c>
      <c r="S236" s="11">
        <f t="shared" si="93"/>
        <v>1930</v>
      </c>
      <c r="T236" s="11">
        <f t="shared" si="93"/>
        <v>34334.69</v>
      </c>
      <c r="U236" s="11">
        <f t="shared" si="93"/>
        <v>-8365.3099999999977</v>
      </c>
      <c r="V236" s="11">
        <f t="shared" si="93"/>
        <v>-8365.3099999999977</v>
      </c>
      <c r="W236" s="11">
        <f t="shared" si="93"/>
        <v>53000</v>
      </c>
      <c r="X236" s="3">
        <f>+W236-P236</f>
        <v>10300</v>
      </c>
      <c r="Y236" s="15">
        <f>+X236/P236</f>
        <v>0.24121779859484777</v>
      </c>
      <c r="Z236" s="4"/>
      <c r="AA236" s="4"/>
      <c r="AB236" s="5"/>
      <c r="AC236" s="5"/>
      <c r="AD236" s="5"/>
      <c r="AE236" s="5"/>
    </row>
    <row r="237" spans="1:31" ht="15.75" customHeight="1" x14ac:dyDescent="0.25">
      <c r="A237" s="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53"/>
      <c r="P237" s="11"/>
      <c r="Q237" s="43"/>
      <c r="R237" s="43"/>
      <c r="S237" s="11"/>
      <c r="T237" s="3"/>
      <c r="U237" s="3"/>
      <c r="V237" s="3"/>
      <c r="W237" s="11"/>
      <c r="X237" s="3"/>
      <c r="Y237" s="10"/>
      <c r="Z237" s="4"/>
      <c r="AA237" s="4"/>
      <c r="AB237" s="5"/>
      <c r="AC237" s="5"/>
      <c r="AD237" s="5"/>
      <c r="AE237" s="5"/>
    </row>
    <row r="238" spans="1:31" ht="15.75" customHeight="1" x14ac:dyDescent="0.25">
      <c r="A238" s="9" t="s">
        <v>215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53"/>
      <c r="P238" s="11"/>
      <c r="Q238" s="43"/>
      <c r="R238" s="43"/>
      <c r="S238" s="11"/>
      <c r="T238" s="3"/>
      <c r="U238" s="3"/>
      <c r="V238" s="3"/>
      <c r="W238" s="11"/>
      <c r="X238" s="3"/>
      <c r="Y238" s="10"/>
      <c r="Z238" s="4"/>
      <c r="AA238" s="4"/>
      <c r="AB238" s="5"/>
      <c r="AC238" s="5"/>
      <c r="AD238" s="5"/>
      <c r="AE238" s="5"/>
    </row>
    <row r="239" spans="1:31" ht="15.75" customHeight="1" x14ac:dyDescent="0.25">
      <c r="A239" s="17" t="s">
        <v>216</v>
      </c>
      <c r="B239" s="11"/>
      <c r="C239" s="11"/>
      <c r="D239" s="11"/>
      <c r="E239" s="3">
        <v>2500</v>
      </c>
      <c r="F239" s="3">
        <v>2500</v>
      </c>
      <c r="G239" s="3">
        <v>2500</v>
      </c>
      <c r="H239" s="3">
        <v>2500</v>
      </c>
      <c r="I239" s="3">
        <v>2500</v>
      </c>
      <c r="J239" s="3">
        <v>2500</v>
      </c>
      <c r="K239" s="3">
        <v>2500</v>
      </c>
      <c r="L239" s="3">
        <v>2500</v>
      </c>
      <c r="M239" s="3">
        <v>2500</v>
      </c>
      <c r="N239" s="3">
        <v>2500</v>
      </c>
      <c r="O239" s="52">
        <v>0</v>
      </c>
      <c r="P239" s="3">
        <v>2500</v>
      </c>
      <c r="Q239" s="42">
        <v>2500</v>
      </c>
      <c r="R239" s="43">
        <v>0</v>
      </c>
      <c r="S239" s="3">
        <v>2500</v>
      </c>
      <c r="T239" s="3">
        <f>+R239+S239</f>
        <v>2500</v>
      </c>
      <c r="U239" s="3">
        <f>+T239-P239</f>
        <v>0</v>
      </c>
      <c r="V239" s="3">
        <f>+T239-Q239</f>
        <v>0</v>
      </c>
      <c r="W239" s="3">
        <v>2500</v>
      </c>
      <c r="X239" s="3">
        <f>+W239-P239</f>
        <v>0</v>
      </c>
      <c r="Y239" s="10">
        <f>+X239/P239</f>
        <v>0</v>
      </c>
      <c r="Z239" s="4"/>
      <c r="AA239" s="4"/>
      <c r="AB239" s="5"/>
      <c r="AC239" s="5"/>
      <c r="AD239" s="5"/>
      <c r="AE239" s="5"/>
    </row>
    <row r="240" spans="1:31" ht="15.75" customHeight="1" x14ac:dyDescent="0.25">
      <c r="A240" s="1" t="s">
        <v>42</v>
      </c>
      <c r="B240" s="11"/>
      <c r="C240" s="11"/>
      <c r="D240" s="11"/>
      <c r="E240" s="11">
        <f t="shared" ref="E240:W240" si="94">SUM(E239)</f>
        <v>2500</v>
      </c>
      <c r="F240" s="11">
        <f t="shared" si="94"/>
        <v>2500</v>
      </c>
      <c r="G240" s="11">
        <f t="shared" si="94"/>
        <v>2500</v>
      </c>
      <c r="H240" s="11">
        <f t="shared" si="94"/>
        <v>2500</v>
      </c>
      <c r="I240" s="11">
        <f t="shared" si="94"/>
        <v>2500</v>
      </c>
      <c r="J240" s="11">
        <f t="shared" si="94"/>
        <v>2500</v>
      </c>
      <c r="K240" s="11">
        <f t="shared" si="94"/>
        <v>2500</v>
      </c>
      <c r="L240" s="11">
        <f t="shared" si="94"/>
        <v>2500</v>
      </c>
      <c r="M240" s="11">
        <f t="shared" si="94"/>
        <v>2500</v>
      </c>
      <c r="N240" s="11">
        <f t="shared" si="94"/>
        <v>2500</v>
      </c>
      <c r="O240" s="53">
        <f t="shared" si="94"/>
        <v>0</v>
      </c>
      <c r="P240" s="11">
        <f t="shared" si="94"/>
        <v>2500</v>
      </c>
      <c r="Q240" s="43">
        <f>SUM(Q239)</f>
        <v>2500</v>
      </c>
      <c r="R240" s="43">
        <f t="shared" si="94"/>
        <v>0</v>
      </c>
      <c r="S240" s="11">
        <f t="shared" si="94"/>
        <v>2500</v>
      </c>
      <c r="T240" s="11">
        <f t="shared" si="94"/>
        <v>2500</v>
      </c>
      <c r="U240" s="11">
        <f t="shared" si="94"/>
        <v>0</v>
      </c>
      <c r="V240" s="11">
        <f t="shared" si="94"/>
        <v>0</v>
      </c>
      <c r="W240" s="11">
        <f t="shared" si="94"/>
        <v>2500</v>
      </c>
      <c r="X240" s="11">
        <f>+W240-P240</f>
        <v>0</v>
      </c>
      <c r="Y240" s="15">
        <f>+X240/P240</f>
        <v>0</v>
      </c>
      <c r="Z240" s="4"/>
      <c r="AA240" s="4"/>
      <c r="AB240" s="5"/>
      <c r="AC240" s="5"/>
      <c r="AD240" s="5"/>
      <c r="AE240" s="5"/>
    </row>
    <row r="241" spans="1:31" ht="15.75" customHeight="1" x14ac:dyDescent="0.25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52"/>
      <c r="P241" s="3"/>
      <c r="Q241" s="42"/>
      <c r="R241" s="42"/>
      <c r="S241" s="3"/>
      <c r="T241" s="3"/>
      <c r="U241" s="3"/>
      <c r="V241" s="3"/>
      <c r="W241" s="3"/>
      <c r="X241" s="3"/>
      <c r="Y241" s="10"/>
      <c r="Z241" s="4"/>
      <c r="AA241" s="4"/>
      <c r="AB241" s="5"/>
      <c r="AC241" s="5"/>
      <c r="AD241" s="5"/>
      <c r="AE241" s="5"/>
    </row>
    <row r="242" spans="1:31" ht="15.75" customHeight="1" x14ac:dyDescent="0.25">
      <c r="A242" s="9" t="s">
        <v>217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52"/>
      <c r="P242" s="3"/>
      <c r="Q242" s="42"/>
      <c r="R242" s="42"/>
      <c r="S242" s="3"/>
      <c r="T242" s="3"/>
      <c r="U242" s="3"/>
      <c r="V242" s="3"/>
      <c r="W242" s="3"/>
      <c r="X242" s="3"/>
      <c r="Y242" s="10"/>
      <c r="Z242" s="4"/>
      <c r="AA242" s="4"/>
      <c r="AB242" s="5"/>
      <c r="AC242" s="5"/>
      <c r="AD242" s="5"/>
      <c r="AE242" s="5"/>
    </row>
    <row r="243" spans="1:31" ht="15.75" customHeight="1" x14ac:dyDescent="0.25">
      <c r="A243" s="17" t="s">
        <v>218</v>
      </c>
      <c r="B243" s="3">
        <v>15558.39</v>
      </c>
      <c r="C243" s="3">
        <v>17788</v>
      </c>
      <c r="D243" s="3">
        <v>16518.59</v>
      </c>
      <c r="E243" s="3">
        <v>16366.46</v>
      </c>
      <c r="F243" s="3">
        <v>11985.04</v>
      </c>
      <c r="G243" s="3">
        <v>11619.6</v>
      </c>
      <c r="H243" s="3">
        <v>11805.22</v>
      </c>
      <c r="I243" s="3">
        <v>12800.87</v>
      </c>
      <c r="J243" s="3">
        <v>10782.98</v>
      </c>
      <c r="K243" s="3">
        <v>5029.68</v>
      </c>
      <c r="L243" s="3">
        <v>16294.28</v>
      </c>
      <c r="M243" s="3">
        <v>17184.38</v>
      </c>
      <c r="N243" s="3">
        <v>17012</v>
      </c>
      <c r="O243" s="52">
        <v>17536.18</v>
      </c>
      <c r="P243" s="3">
        <v>22130</v>
      </c>
      <c r="Q243" s="42">
        <v>22130</v>
      </c>
      <c r="R243" s="42">
        <v>11861.34</v>
      </c>
      <c r="S243" s="3">
        <f>2280+(773*6)</f>
        <v>6918</v>
      </c>
      <c r="T243" s="3">
        <f t="shared" ref="T243:T249" si="95">+R243+S243</f>
        <v>18779.34</v>
      </c>
      <c r="U243" s="3">
        <f t="shared" ref="U243:U249" si="96">+T243-P243</f>
        <v>-3350.66</v>
      </c>
      <c r="V243" s="3">
        <f t="shared" ref="V243:V249" si="97">+T243-Q243</f>
        <v>-3350.66</v>
      </c>
      <c r="W243" s="3">
        <v>22718</v>
      </c>
      <c r="X243" s="3">
        <f t="shared" ref="X243:X249" si="98">+W243-P243</f>
        <v>588</v>
      </c>
      <c r="Y243" s="10">
        <f>+X243/P243</f>
        <v>2.6570266606416627E-2</v>
      </c>
      <c r="Z243" s="4"/>
      <c r="AA243" s="4"/>
      <c r="AB243" s="5"/>
      <c r="AC243" s="5"/>
      <c r="AD243" s="5"/>
      <c r="AE243" s="5"/>
    </row>
    <row r="244" spans="1:31" ht="15.75" hidden="1" customHeight="1" x14ac:dyDescent="0.25">
      <c r="A244" s="17" t="s">
        <v>219</v>
      </c>
      <c r="B244" s="3">
        <v>1360</v>
      </c>
      <c r="C244" s="3">
        <v>744</v>
      </c>
      <c r="D244" s="3">
        <v>900</v>
      </c>
      <c r="E244" s="3">
        <v>1100</v>
      </c>
      <c r="F244" s="3">
        <v>200</v>
      </c>
      <c r="G244" s="3"/>
      <c r="H244" s="3"/>
      <c r="I244" s="3"/>
      <c r="J244" s="3"/>
      <c r="K244" s="3"/>
      <c r="L244" s="3"/>
      <c r="M244" s="3"/>
      <c r="N244" s="3"/>
      <c r="O244" s="52"/>
      <c r="P244" s="3"/>
      <c r="Q244" s="42"/>
      <c r="R244" s="42"/>
      <c r="S244" s="3"/>
      <c r="T244" s="3">
        <f t="shared" si="95"/>
        <v>0</v>
      </c>
      <c r="U244" s="3">
        <f t="shared" si="96"/>
        <v>0</v>
      </c>
      <c r="V244" s="3">
        <f t="shared" si="97"/>
        <v>0</v>
      </c>
      <c r="W244" s="3"/>
      <c r="X244" s="3">
        <f t="shared" si="98"/>
        <v>0</v>
      </c>
      <c r="Y244" s="10"/>
      <c r="Z244" s="4"/>
      <c r="AA244" s="4"/>
      <c r="AB244" s="5"/>
      <c r="AC244" s="5"/>
      <c r="AD244" s="5"/>
      <c r="AE244" s="5"/>
    </row>
    <row r="245" spans="1:31" ht="15.75" customHeight="1" x14ac:dyDescent="0.25">
      <c r="A245" s="17" t="s">
        <v>220</v>
      </c>
      <c r="B245" s="3"/>
      <c r="C245" s="3"/>
      <c r="D245" s="3">
        <v>574</v>
      </c>
      <c r="E245" s="3"/>
      <c r="F245" s="3">
        <v>573</v>
      </c>
      <c r="G245" s="3"/>
      <c r="H245" s="3"/>
      <c r="I245" s="3">
        <v>852</v>
      </c>
      <c r="J245" s="3">
        <v>8999</v>
      </c>
      <c r="K245" s="3"/>
      <c r="L245" s="3"/>
      <c r="M245" s="3"/>
      <c r="N245" s="3">
        <v>354</v>
      </c>
      <c r="O245" s="52">
        <v>404.1</v>
      </c>
      <c r="P245" s="3">
        <v>500</v>
      </c>
      <c r="Q245" s="42">
        <v>500</v>
      </c>
      <c r="R245" s="42">
        <v>0</v>
      </c>
      <c r="S245" s="3"/>
      <c r="T245" s="3">
        <f t="shared" si="95"/>
        <v>0</v>
      </c>
      <c r="U245" s="3">
        <f t="shared" si="96"/>
        <v>-500</v>
      </c>
      <c r="V245" s="3">
        <f t="shared" si="97"/>
        <v>-500</v>
      </c>
      <c r="W245" s="3">
        <v>400</v>
      </c>
      <c r="X245" s="3">
        <f t="shared" si="98"/>
        <v>-100</v>
      </c>
      <c r="Y245" s="5"/>
      <c r="Z245" s="4"/>
      <c r="AA245" s="4"/>
      <c r="AB245" s="5"/>
      <c r="AC245" s="5"/>
      <c r="AD245" s="5"/>
      <c r="AE245" s="5"/>
    </row>
    <row r="246" spans="1:31" ht="15.75" customHeight="1" x14ac:dyDescent="0.25">
      <c r="A246" s="17" t="s">
        <v>221</v>
      </c>
      <c r="B246" s="3">
        <v>3327.29</v>
      </c>
      <c r="C246" s="3">
        <v>3186</v>
      </c>
      <c r="D246" s="3">
        <v>3776.26</v>
      </c>
      <c r="E246" s="3">
        <v>4039.25</v>
      </c>
      <c r="F246" s="3">
        <v>5365.65</v>
      </c>
      <c r="G246" s="3">
        <v>4327</v>
      </c>
      <c r="H246" s="3">
        <v>4857.29</v>
      </c>
      <c r="I246" s="3">
        <v>6085.92</v>
      </c>
      <c r="J246" s="3">
        <v>16928.39</v>
      </c>
      <c r="K246" s="3">
        <v>4393.09</v>
      </c>
      <c r="L246" s="3">
        <v>8296.84</v>
      </c>
      <c r="M246" s="3">
        <v>6203.24</v>
      </c>
      <c r="N246" s="3">
        <v>8713</v>
      </c>
      <c r="O246" s="52">
        <v>7485.86</v>
      </c>
      <c r="P246" s="3">
        <v>8700</v>
      </c>
      <c r="Q246" s="42">
        <v>8700</v>
      </c>
      <c r="R246" s="42">
        <v>4278.3900000000003</v>
      </c>
      <c r="S246" s="3">
        <v>3600</v>
      </c>
      <c r="T246" s="3">
        <f t="shared" si="95"/>
        <v>7878.39</v>
      </c>
      <c r="U246" s="3">
        <f t="shared" si="96"/>
        <v>-821.60999999999967</v>
      </c>
      <c r="V246" s="3">
        <f t="shared" si="97"/>
        <v>-821.60999999999967</v>
      </c>
      <c r="W246" s="3">
        <v>8700</v>
      </c>
      <c r="X246" s="3">
        <f t="shared" si="98"/>
        <v>0</v>
      </c>
      <c r="Y246" s="10">
        <f>+X246/P246</f>
        <v>0</v>
      </c>
      <c r="Z246" s="4"/>
      <c r="AA246" s="4"/>
      <c r="AB246" s="5"/>
      <c r="AC246" s="5"/>
      <c r="AD246" s="5"/>
      <c r="AE246" s="5"/>
    </row>
    <row r="247" spans="1:31" ht="15.75" customHeight="1" x14ac:dyDescent="0.25">
      <c r="A247" s="34" t="s">
        <v>444</v>
      </c>
      <c r="B247" s="3">
        <v>4675</v>
      </c>
      <c r="C247" s="3">
        <v>6441</v>
      </c>
      <c r="D247" s="3">
        <v>12042.1</v>
      </c>
      <c r="E247" s="3">
        <v>11691.25</v>
      </c>
      <c r="F247" s="3">
        <v>14132.08</v>
      </c>
      <c r="G247" s="3">
        <v>15992.04</v>
      </c>
      <c r="H247" s="3">
        <v>14183.08</v>
      </c>
      <c r="I247" s="3">
        <v>12970.92</v>
      </c>
      <c r="J247" s="3">
        <v>4859.05</v>
      </c>
      <c r="K247" s="3">
        <v>11584.17</v>
      </c>
      <c r="L247" s="3">
        <v>15140</v>
      </c>
      <c r="M247" s="3">
        <v>12584.58</v>
      </c>
      <c r="N247" s="3">
        <v>11983</v>
      </c>
      <c r="O247" s="52">
        <v>10217.92</v>
      </c>
      <c r="P247" s="3">
        <v>15000</v>
      </c>
      <c r="Q247" s="42">
        <v>15000</v>
      </c>
      <c r="R247" s="42">
        <v>12599.56</v>
      </c>
      <c r="S247" s="3">
        <v>0</v>
      </c>
      <c r="T247" s="3">
        <f t="shared" si="95"/>
        <v>12599.56</v>
      </c>
      <c r="U247" s="3">
        <f t="shared" si="96"/>
        <v>-2400.4400000000005</v>
      </c>
      <c r="V247" s="3">
        <f t="shared" si="97"/>
        <v>-2400.4400000000005</v>
      </c>
      <c r="W247" s="3">
        <v>15000</v>
      </c>
      <c r="X247" s="3">
        <f t="shared" si="98"/>
        <v>0</v>
      </c>
      <c r="Y247" s="10">
        <f>+X247/P247</f>
        <v>0</v>
      </c>
      <c r="Z247" s="4"/>
      <c r="AA247" s="4"/>
      <c r="AB247" s="5"/>
      <c r="AC247" s="5"/>
      <c r="AD247" s="5"/>
      <c r="AE247" s="5"/>
    </row>
    <row r="248" spans="1:31" ht="15.75" customHeight="1" x14ac:dyDescent="0.25">
      <c r="A248" s="17" t="s">
        <v>222</v>
      </c>
      <c r="B248" s="3">
        <v>4668.28</v>
      </c>
      <c r="C248" s="3">
        <v>5508</v>
      </c>
      <c r="D248" s="3">
        <v>6276.65</v>
      </c>
      <c r="E248" s="3">
        <v>4346.3100000000004</v>
      </c>
      <c r="F248" s="3">
        <v>4324.18</v>
      </c>
      <c r="G248" s="3">
        <v>4402.37</v>
      </c>
      <c r="H248" s="3">
        <v>4519.43</v>
      </c>
      <c r="I248" s="3">
        <v>4821.7299999999996</v>
      </c>
      <c r="J248" s="3"/>
      <c r="K248" s="3">
        <v>4447.2</v>
      </c>
      <c r="L248" s="3">
        <v>4749.66</v>
      </c>
      <c r="M248" s="3">
        <v>5182.1400000000003</v>
      </c>
      <c r="N248" s="3">
        <v>4759</v>
      </c>
      <c r="O248" s="52">
        <v>5026.95</v>
      </c>
      <c r="P248" s="3">
        <v>5700</v>
      </c>
      <c r="Q248" s="42">
        <v>5700</v>
      </c>
      <c r="R248" s="42">
        <v>2790.67</v>
      </c>
      <c r="S248" s="3">
        <f>741*4</f>
        <v>2964</v>
      </c>
      <c r="T248" s="3">
        <f t="shared" si="95"/>
        <v>5754.67</v>
      </c>
      <c r="U248" s="3">
        <f t="shared" si="96"/>
        <v>54.670000000000073</v>
      </c>
      <c r="V248" s="3">
        <f t="shared" si="97"/>
        <v>54.670000000000073</v>
      </c>
      <c r="W248" s="3">
        <v>6400</v>
      </c>
      <c r="X248" s="3">
        <f t="shared" si="98"/>
        <v>700</v>
      </c>
      <c r="Y248" s="10">
        <f>+X248/P248</f>
        <v>0.12280701754385964</v>
      </c>
      <c r="Z248" s="4"/>
      <c r="AA248" s="4"/>
      <c r="AB248" s="5"/>
      <c r="AC248" s="5"/>
      <c r="AD248" s="5"/>
      <c r="AE248" s="5"/>
    </row>
    <row r="249" spans="1:31" ht="15.75" hidden="1" customHeight="1" x14ac:dyDescent="0.25">
      <c r="A249" s="17" t="s">
        <v>223</v>
      </c>
      <c r="B249" s="3"/>
      <c r="C249" s="3">
        <v>7245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52"/>
      <c r="P249" s="3"/>
      <c r="Q249" s="42"/>
      <c r="R249" s="42"/>
      <c r="S249" s="3"/>
      <c r="T249" s="3">
        <f t="shared" si="95"/>
        <v>0</v>
      </c>
      <c r="U249" s="3">
        <f t="shared" si="96"/>
        <v>0</v>
      </c>
      <c r="V249" s="3">
        <f t="shared" si="97"/>
        <v>0</v>
      </c>
      <c r="W249" s="3"/>
      <c r="X249" s="3">
        <f t="shared" si="98"/>
        <v>0</v>
      </c>
      <c r="Y249" s="10"/>
      <c r="Z249" s="4"/>
      <c r="AA249" s="4"/>
      <c r="AB249" s="5"/>
      <c r="AC249" s="5"/>
      <c r="AD249" s="5"/>
      <c r="AE249" s="5"/>
    </row>
    <row r="250" spans="1:31" ht="15.75" customHeight="1" x14ac:dyDescent="0.25">
      <c r="A250" s="1" t="s">
        <v>42</v>
      </c>
      <c r="B250" s="11">
        <f t="shared" ref="B250:X250" si="99">SUM(B243:B249)</f>
        <v>29588.959999999999</v>
      </c>
      <c r="C250" s="11">
        <f t="shared" si="99"/>
        <v>40912</v>
      </c>
      <c r="D250" s="11">
        <f t="shared" si="99"/>
        <v>40087.599999999999</v>
      </c>
      <c r="E250" s="11">
        <f t="shared" si="99"/>
        <v>37543.269999999997</v>
      </c>
      <c r="F250" s="11">
        <f t="shared" si="99"/>
        <v>36579.950000000004</v>
      </c>
      <c r="G250" s="11">
        <f t="shared" si="99"/>
        <v>36341.01</v>
      </c>
      <c r="H250" s="11">
        <f t="shared" si="99"/>
        <v>35365.019999999997</v>
      </c>
      <c r="I250" s="11">
        <f t="shared" si="99"/>
        <v>37531.440000000002</v>
      </c>
      <c r="J250" s="11">
        <f t="shared" si="99"/>
        <v>41569.42</v>
      </c>
      <c r="K250" s="11">
        <f t="shared" si="99"/>
        <v>25454.140000000003</v>
      </c>
      <c r="L250" s="11">
        <f t="shared" si="99"/>
        <v>44480.78</v>
      </c>
      <c r="M250" s="11">
        <f t="shared" si="99"/>
        <v>41154.340000000004</v>
      </c>
      <c r="N250" s="11">
        <f t="shared" si="99"/>
        <v>42821</v>
      </c>
      <c r="O250" s="53">
        <f t="shared" si="99"/>
        <v>40671.009999999995</v>
      </c>
      <c r="P250" s="11">
        <f t="shared" si="99"/>
        <v>52030</v>
      </c>
      <c r="Q250" s="43">
        <f>SUM(Q243:Q249)</f>
        <v>52030</v>
      </c>
      <c r="R250" s="43">
        <f t="shared" si="99"/>
        <v>31529.96</v>
      </c>
      <c r="S250" s="11">
        <f t="shared" si="99"/>
        <v>13482</v>
      </c>
      <c r="T250" s="11">
        <f t="shared" si="99"/>
        <v>45011.96</v>
      </c>
      <c r="U250" s="11">
        <f t="shared" si="99"/>
        <v>-7018.04</v>
      </c>
      <c r="V250" s="11">
        <f t="shared" si="99"/>
        <v>-7018.04</v>
      </c>
      <c r="W250" s="11">
        <f t="shared" si="99"/>
        <v>53218</v>
      </c>
      <c r="X250" s="11">
        <f t="shared" si="99"/>
        <v>1188</v>
      </c>
      <c r="Y250" s="15">
        <f>+X250/P250</f>
        <v>2.2832980972515855E-2</v>
      </c>
      <c r="Z250" s="4"/>
      <c r="AA250" s="4"/>
      <c r="AB250" s="5"/>
      <c r="AC250" s="5"/>
      <c r="AD250" s="5"/>
      <c r="AE250" s="5"/>
    </row>
    <row r="251" spans="1:31" ht="15.75" customHeight="1" x14ac:dyDescent="0.25">
      <c r="A251" s="1" t="s">
        <v>224</v>
      </c>
      <c r="B251" s="13">
        <f t="shared" ref="B251:C251" si="100">+B221+B228+B236+B250</f>
        <v>116938.41</v>
      </c>
      <c r="C251" s="13">
        <f t="shared" si="100"/>
        <v>157490.53999999998</v>
      </c>
      <c r="D251" s="13">
        <f>+D221+D228+D236+D250+D210</f>
        <v>146779.66</v>
      </c>
      <c r="E251" s="13">
        <f t="shared" ref="E251:X251" si="101">+E221+E228+E236+E250+E210+E240</f>
        <v>135764.81</v>
      </c>
      <c r="F251" s="13">
        <f t="shared" si="101"/>
        <v>147303.57999999999</v>
      </c>
      <c r="G251" s="13">
        <f t="shared" si="101"/>
        <v>274247.05</v>
      </c>
      <c r="H251" s="13">
        <f t="shared" si="101"/>
        <v>250501.09</v>
      </c>
      <c r="I251" s="13">
        <f t="shared" si="101"/>
        <v>257343.34</v>
      </c>
      <c r="J251" s="13">
        <f t="shared" si="101"/>
        <v>191169.84999999998</v>
      </c>
      <c r="K251" s="13">
        <f t="shared" si="101"/>
        <v>166006.30000000002</v>
      </c>
      <c r="L251" s="13">
        <f t="shared" si="101"/>
        <v>354818.39</v>
      </c>
      <c r="M251" s="13">
        <f t="shared" si="101"/>
        <v>408134.24</v>
      </c>
      <c r="N251" s="13">
        <f t="shared" si="101"/>
        <v>357175</v>
      </c>
      <c r="O251" s="54">
        <f t="shared" si="101"/>
        <v>326751.64999999997</v>
      </c>
      <c r="P251" s="13">
        <f t="shared" si="101"/>
        <v>337282</v>
      </c>
      <c r="Q251" s="44">
        <f>+Q221+Q228+Q236+Q250+Q210+Q240</f>
        <v>337282</v>
      </c>
      <c r="R251" s="44">
        <f t="shared" si="101"/>
        <v>235039.12</v>
      </c>
      <c r="S251" s="13">
        <f t="shared" si="101"/>
        <v>80462.600000000006</v>
      </c>
      <c r="T251" s="13">
        <f t="shared" si="101"/>
        <v>315501.71999999997</v>
      </c>
      <c r="U251" s="13">
        <f t="shared" si="101"/>
        <v>-21780.28000000001</v>
      </c>
      <c r="V251" s="13">
        <f t="shared" si="101"/>
        <v>-21780.28000000001</v>
      </c>
      <c r="W251" s="13">
        <f t="shared" si="101"/>
        <v>363200</v>
      </c>
      <c r="X251" s="13">
        <f t="shared" si="101"/>
        <v>25918</v>
      </c>
      <c r="Y251" s="16">
        <f>+X251/P251</f>
        <v>7.6843709418231626E-2</v>
      </c>
      <c r="Z251" s="4"/>
      <c r="AA251" s="4"/>
      <c r="AB251" s="5"/>
      <c r="AC251" s="5"/>
      <c r="AD251" s="5"/>
      <c r="AE251" s="5"/>
    </row>
    <row r="252" spans="1:31" ht="15.75" customHeight="1" x14ac:dyDescent="0.25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52"/>
      <c r="P252" s="3"/>
      <c r="Q252" s="42"/>
      <c r="R252" s="42"/>
      <c r="S252" s="3"/>
      <c r="T252" s="3"/>
      <c r="U252" s="3"/>
      <c r="V252" s="3"/>
      <c r="W252" s="3"/>
      <c r="X252" s="3"/>
      <c r="Y252" s="10"/>
      <c r="Z252" s="4"/>
      <c r="AA252" s="4"/>
      <c r="AB252" s="5"/>
      <c r="AC252" s="5"/>
      <c r="AD252" s="5"/>
      <c r="AE252" s="5"/>
    </row>
    <row r="253" spans="1:31" ht="15.75" customHeight="1" x14ac:dyDescent="0.25">
      <c r="A253" s="8" t="s">
        <v>225</v>
      </c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55"/>
      <c r="P253" s="7"/>
      <c r="Q253" s="45"/>
      <c r="R253" s="45"/>
      <c r="S253" s="7"/>
      <c r="T253" s="3"/>
      <c r="U253" s="3"/>
      <c r="V253" s="3"/>
      <c r="W253" s="7"/>
      <c r="X253" s="3"/>
      <c r="Y253" s="10"/>
      <c r="Z253" s="4"/>
      <c r="AA253" s="4"/>
      <c r="AB253" s="5"/>
      <c r="AC253" s="5"/>
      <c r="AD253" s="5"/>
      <c r="AE253" s="5"/>
    </row>
    <row r="254" spans="1:31" ht="15.75" customHeight="1" x14ac:dyDescent="0.25">
      <c r="A254" s="9" t="s">
        <v>226</v>
      </c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55"/>
      <c r="P254" s="7"/>
      <c r="Q254" s="45"/>
      <c r="R254" s="45"/>
      <c r="S254" s="7"/>
      <c r="T254" s="3"/>
      <c r="U254" s="3"/>
      <c r="V254" s="3"/>
      <c r="W254" s="7"/>
      <c r="X254" s="3"/>
      <c r="Y254" s="10"/>
      <c r="Z254" s="4"/>
      <c r="AA254" s="4"/>
      <c r="AB254" s="5"/>
      <c r="AC254" s="5"/>
      <c r="AD254" s="5"/>
      <c r="AE254" s="5"/>
    </row>
    <row r="255" spans="1:31" ht="15.75" customHeight="1" x14ac:dyDescent="0.25">
      <c r="A255" s="17" t="s">
        <v>227</v>
      </c>
      <c r="B255" s="3">
        <v>3150.2</v>
      </c>
      <c r="C255" s="3">
        <v>753</v>
      </c>
      <c r="D255" s="3">
        <v>163.46</v>
      </c>
      <c r="E255" s="3">
        <v>2854.44</v>
      </c>
      <c r="F255" s="3">
        <v>2907.02</v>
      </c>
      <c r="G255" s="3">
        <v>3514</v>
      </c>
      <c r="H255" s="3">
        <v>4637.2299999999996</v>
      </c>
      <c r="I255" s="3">
        <v>2745</v>
      </c>
      <c r="J255" s="3">
        <v>1280</v>
      </c>
      <c r="K255" s="3">
        <v>2072</v>
      </c>
      <c r="L255" s="3">
        <v>6949.47</v>
      </c>
      <c r="M255" s="3">
        <v>4248.43</v>
      </c>
      <c r="N255" s="3">
        <v>2750</v>
      </c>
      <c r="O255" s="52">
        <v>2680.75</v>
      </c>
      <c r="P255" s="3">
        <v>6000</v>
      </c>
      <c r="Q255" s="42">
        <v>6000</v>
      </c>
      <c r="R255" s="42">
        <v>685.7</v>
      </c>
      <c r="S255" s="3">
        <v>600</v>
      </c>
      <c r="T255" s="3">
        <f>+R255+S255</f>
        <v>1285.7</v>
      </c>
      <c r="U255" s="3">
        <f>+T255-P255</f>
        <v>-4714.3</v>
      </c>
      <c r="V255" s="3">
        <f>+T255-Q255</f>
        <v>-4714.3</v>
      </c>
      <c r="W255" s="3">
        <v>6000</v>
      </c>
      <c r="X255" s="3">
        <f>+W255-P255</f>
        <v>0</v>
      </c>
      <c r="Y255" s="10">
        <f>+X255/P255</f>
        <v>0</v>
      </c>
      <c r="Z255" s="4"/>
      <c r="AA255" s="4"/>
      <c r="AB255" s="5"/>
      <c r="AC255" s="5"/>
      <c r="AD255" s="5"/>
      <c r="AE255" s="5"/>
    </row>
    <row r="256" spans="1:31" ht="15.75" customHeight="1" x14ac:dyDescent="0.25">
      <c r="A256" s="1" t="s">
        <v>42</v>
      </c>
      <c r="B256" s="11">
        <f t="shared" ref="B256:W256" si="102">SUM(B255)</f>
        <v>3150.2</v>
      </c>
      <c r="C256" s="11">
        <f t="shared" si="102"/>
        <v>753</v>
      </c>
      <c r="D256" s="11">
        <f t="shared" si="102"/>
        <v>163.46</v>
      </c>
      <c r="E256" s="11">
        <f t="shared" si="102"/>
        <v>2854.44</v>
      </c>
      <c r="F256" s="11">
        <f t="shared" si="102"/>
        <v>2907.02</v>
      </c>
      <c r="G256" s="11">
        <f t="shared" si="102"/>
        <v>3514</v>
      </c>
      <c r="H256" s="11">
        <f t="shared" si="102"/>
        <v>4637.2299999999996</v>
      </c>
      <c r="I256" s="11">
        <f t="shared" si="102"/>
        <v>2745</v>
      </c>
      <c r="J256" s="11">
        <f t="shared" si="102"/>
        <v>1280</v>
      </c>
      <c r="K256" s="11">
        <f t="shared" si="102"/>
        <v>2072</v>
      </c>
      <c r="L256" s="11">
        <f t="shared" si="102"/>
        <v>6949.47</v>
      </c>
      <c r="M256" s="11">
        <f t="shared" si="102"/>
        <v>4248.43</v>
      </c>
      <c r="N256" s="11">
        <f t="shared" si="102"/>
        <v>2750</v>
      </c>
      <c r="O256" s="53">
        <f t="shared" si="102"/>
        <v>2680.75</v>
      </c>
      <c r="P256" s="11">
        <f t="shared" si="102"/>
        <v>6000</v>
      </c>
      <c r="Q256" s="43">
        <f>SUM(Q255)</f>
        <v>6000</v>
      </c>
      <c r="R256" s="43">
        <f t="shared" si="102"/>
        <v>685.7</v>
      </c>
      <c r="S256" s="11">
        <f t="shared" si="102"/>
        <v>600</v>
      </c>
      <c r="T256" s="11">
        <f t="shared" si="102"/>
        <v>1285.7</v>
      </c>
      <c r="U256" s="11">
        <f t="shared" si="102"/>
        <v>-4714.3</v>
      </c>
      <c r="V256" s="11">
        <f t="shared" si="102"/>
        <v>-4714.3</v>
      </c>
      <c r="W256" s="11">
        <f t="shared" si="102"/>
        <v>6000</v>
      </c>
      <c r="X256" s="11">
        <f>+W256-P256</f>
        <v>0</v>
      </c>
      <c r="Y256" s="15">
        <f>+X256/P256</f>
        <v>0</v>
      </c>
      <c r="Z256" s="22"/>
      <c r="AA256" s="4"/>
      <c r="AB256" s="2"/>
      <c r="AC256" s="2"/>
      <c r="AD256" s="2"/>
      <c r="AE256" s="2"/>
    </row>
    <row r="257" spans="1:31" ht="15.75" customHeight="1" x14ac:dyDescent="0.25">
      <c r="A257" s="1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52"/>
      <c r="P257" s="3"/>
      <c r="Q257" s="42"/>
      <c r="R257" s="42"/>
      <c r="S257" s="3"/>
      <c r="T257" s="3"/>
      <c r="U257" s="3"/>
      <c r="V257" s="3"/>
      <c r="W257" s="3"/>
      <c r="X257" s="3"/>
      <c r="Y257" s="10"/>
      <c r="Z257" s="4"/>
      <c r="AA257" s="4"/>
      <c r="AB257" s="5"/>
      <c r="AC257" s="5"/>
      <c r="AD257" s="5"/>
      <c r="AE257" s="5"/>
    </row>
    <row r="258" spans="1:31" ht="15.75" customHeight="1" x14ac:dyDescent="0.25">
      <c r="A258" s="9" t="s">
        <v>228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52"/>
      <c r="P258" s="3"/>
      <c r="Q258" s="42"/>
      <c r="R258" s="42"/>
      <c r="S258" s="3"/>
      <c r="T258" s="3"/>
      <c r="U258" s="3"/>
      <c r="V258" s="3"/>
      <c r="W258" s="3"/>
      <c r="X258" s="3"/>
      <c r="Y258" s="10"/>
      <c r="Z258" s="4"/>
      <c r="AA258" s="4"/>
      <c r="AB258" s="5"/>
      <c r="AC258" s="5"/>
      <c r="AD258" s="5"/>
      <c r="AE258" s="5"/>
    </row>
    <row r="259" spans="1:31" ht="15.75" customHeight="1" x14ac:dyDescent="0.25">
      <c r="A259" s="17" t="s">
        <v>229</v>
      </c>
      <c r="B259" s="3">
        <v>6433.1</v>
      </c>
      <c r="C259" s="3">
        <v>5499</v>
      </c>
      <c r="D259" s="3">
        <v>4147.38</v>
      </c>
      <c r="E259" s="3">
        <v>2402.39</v>
      </c>
      <c r="F259" s="3">
        <v>8640.08</v>
      </c>
      <c r="G259" s="3">
        <v>4639.17</v>
      </c>
      <c r="H259" s="3">
        <v>4838.54</v>
      </c>
      <c r="I259" s="3">
        <v>5155.9799999999996</v>
      </c>
      <c r="J259" s="3">
        <v>2424.17</v>
      </c>
      <c r="K259" s="3">
        <v>1742.44</v>
      </c>
      <c r="L259" s="3">
        <v>2471.71</v>
      </c>
      <c r="M259" s="3">
        <v>4293.9799999999996</v>
      </c>
      <c r="N259" s="3">
        <v>4310</v>
      </c>
      <c r="O259" s="52">
        <v>15845</v>
      </c>
      <c r="P259" s="3">
        <v>0</v>
      </c>
      <c r="Q259" s="42">
        <f>+P259</f>
        <v>0</v>
      </c>
      <c r="R259" s="42">
        <v>0</v>
      </c>
      <c r="S259" s="3"/>
      <c r="T259" s="3">
        <f>+R259+S259</f>
        <v>0</v>
      </c>
      <c r="U259" s="3">
        <f>+T259-P259</f>
        <v>0</v>
      </c>
      <c r="V259" s="3">
        <f>+T259-Q259</f>
        <v>0</v>
      </c>
      <c r="W259" s="3">
        <v>0</v>
      </c>
      <c r="X259" s="3">
        <f>+W259-P259</f>
        <v>0</v>
      </c>
      <c r="Y259" s="10"/>
      <c r="Z259" s="4" t="s">
        <v>230</v>
      </c>
      <c r="AA259" s="4"/>
      <c r="AB259" s="5"/>
      <c r="AC259" s="5"/>
      <c r="AD259" s="5"/>
      <c r="AE259" s="5"/>
    </row>
    <row r="260" spans="1:31" ht="15.75" customHeight="1" x14ac:dyDescent="0.25">
      <c r="A260" s="1" t="s">
        <v>42</v>
      </c>
      <c r="B260" s="11">
        <f t="shared" ref="B260:X260" si="103">SUM(B259)</f>
        <v>6433.1</v>
      </c>
      <c r="C260" s="11">
        <f t="shared" si="103"/>
        <v>5499</v>
      </c>
      <c r="D260" s="11">
        <f t="shared" si="103"/>
        <v>4147.38</v>
      </c>
      <c r="E260" s="11">
        <f t="shared" si="103"/>
        <v>2402.39</v>
      </c>
      <c r="F260" s="11">
        <f t="shared" si="103"/>
        <v>8640.08</v>
      </c>
      <c r="G260" s="11">
        <f t="shared" si="103"/>
        <v>4639.17</v>
      </c>
      <c r="H260" s="11">
        <f t="shared" si="103"/>
        <v>4838.54</v>
      </c>
      <c r="I260" s="11">
        <f t="shared" si="103"/>
        <v>5155.9799999999996</v>
      </c>
      <c r="J260" s="11">
        <f t="shared" si="103"/>
        <v>2424.17</v>
      </c>
      <c r="K260" s="11">
        <f t="shared" si="103"/>
        <v>1742.44</v>
      </c>
      <c r="L260" s="11">
        <f t="shared" si="103"/>
        <v>2471.71</v>
      </c>
      <c r="M260" s="11">
        <f t="shared" si="103"/>
        <v>4293.9799999999996</v>
      </c>
      <c r="N260" s="11">
        <f t="shared" si="103"/>
        <v>4310</v>
      </c>
      <c r="O260" s="53">
        <f t="shared" si="103"/>
        <v>15845</v>
      </c>
      <c r="P260" s="11">
        <f t="shared" si="103"/>
        <v>0</v>
      </c>
      <c r="Q260" s="43">
        <f t="shared" si="103"/>
        <v>0</v>
      </c>
      <c r="R260" s="43">
        <f t="shared" si="103"/>
        <v>0</v>
      </c>
      <c r="S260" s="11">
        <f t="shared" si="103"/>
        <v>0</v>
      </c>
      <c r="T260" s="11">
        <f t="shared" si="103"/>
        <v>0</v>
      </c>
      <c r="U260" s="11">
        <f t="shared" si="103"/>
        <v>0</v>
      </c>
      <c r="V260" s="11">
        <f t="shared" si="103"/>
        <v>0</v>
      </c>
      <c r="W260" s="11">
        <f t="shared" si="103"/>
        <v>0</v>
      </c>
      <c r="X260" s="11">
        <f t="shared" si="103"/>
        <v>0</v>
      </c>
      <c r="Y260" s="15"/>
      <c r="Z260" s="4"/>
      <c r="AA260" s="4"/>
      <c r="AB260" s="5"/>
      <c r="AC260" s="5"/>
      <c r="AD260" s="5"/>
      <c r="AE260" s="5"/>
    </row>
    <row r="261" spans="1:31" ht="15.75" customHeight="1" x14ac:dyDescent="0.25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52"/>
      <c r="P261" s="3"/>
      <c r="Q261" s="42"/>
      <c r="R261" s="42"/>
      <c r="S261" s="3"/>
      <c r="T261" s="3"/>
      <c r="U261" s="3"/>
      <c r="V261" s="3"/>
      <c r="W261" s="3"/>
      <c r="X261" s="3"/>
      <c r="Y261" s="10"/>
      <c r="Z261" s="4"/>
      <c r="AA261" s="4"/>
      <c r="AB261" s="5"/>
      <c r="AC261" s="5"/>
      <c r="AD261" s="5"/>
      <c r="AE261" s="5"/>
    </row>
    <row r="262" spans="1:31" ht="15.75" customHeight="1" x14ac:dyDescent="0.25">
      <c r="A262" s="9" t="s">
        <v>231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52"/>
      <c r="P262" s="3"/>
      <c r="Q262" s="42"/>
      <c r="R262" s="42"/>
      <c r="S262" s="3"/>
      <c r="T262" s="3"/>
      <c r="U262" s="3"/>
      <c r="V262" s="3"/>
      <c r="W262" s="3"/>
      <c r="X262" s="3"/>
      <c r="Y262" s="10"/>
      <c r="Z262" s="4"/>
      <c r="AA262" s="4"/>
      <c r="AB262" s="5"/>
      <c r="AC262" s="5"/>
      <c r="AD262" s="5"/>
      <c r="AE262" s="5"/>
    </row>
    <row r="263" spans="1:31" ht="15.75" customHeight="1" x14ac:dyDescent="0.25">
      <c r="A263" s="33" t="s">
        <v>412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52"/>
      <c r="P263" s="3"/>
      <c r="Q263" s="42">
        <v>0</v>
      </c>
      <c r="R263" s="42">
        <v>2000</v>
      </c>
      <c r="S263" s="3"/>
      <c r="T263" s="3">
        <f>+R263+S263</f>
        <v>2000</v>
      </c>
      <c r="U263" s="3">
        <f>+T263-P263</f>
        <v>2000</v>
      </c>
      <c r="V263" s="3">
        <f>+T263-Q263</f>
        <v>2000</v>
      </c>
      <c r="W263" s="3"/>
      <c r="X263" s="3"/>
      <c r="Y263" s="10"/>
      <c r="Z263" s="4"/>
      <c r="AA263" s="4"/>
      <c r="AB263" s="5"/>
      <c r="AC263" s="5"/>
      <c r="AD263" s="5"/>
      <c r="AE263" s="5"/>
    </row>
    <row r="264" spans="1:31" ht="15.75" customHeight="1" x14ac:dyDescent="0.25">
      <c r="A264" s="5" t="s">
        <v>232</v>
      </c>
      <c r="B264" s="3">
        <v>307467.62</v>
      </c>
      <c r="C264" s="3">
        <v>290069</v>
      </c>
      <c r="D264" s="3">
        <v>274500</v>
      </c>
      <c r="E264" s="3">
        <v>289050</v>
      </c>
      <c r="F264" s="3">
        <v>289050</v>
      </c>
      <c r="G264" s="3">
        <v>291816</v>
      </c>
      <c r="H264" s="3">
        <v>291816</v>
      </c>
      <c r="I264" s="3">
        <v>277500</v>
      </c>
      <c r="J264" s="3">
        <v>373279.47</v>
      </c>
      <c r="K264" s="3">
        <v>372526.56</v>
      </c>
      <c r="L264" s="3">
        <v>414999.96</v>
      </c>
      <c r="M264" s="3">
        <v>445300</v>
      </c>
      <c r="N264" s="3">
        <v>470615</v>
      </c>
      <c r="O264" s="52">
        <v>482398.8</v>
      </c>
      <c r="P264" s="3">
        <f>480000+17500</f>
        <v>497500</v>
      </c>
      <c r="Q264" s="42">
        <v>497500</v>
      </c>
      <c r="R264" s="42">
        <v>280000</v>
      </c>
      <c r="S264" s="3">
        <f>40000*4</f>
        <v>160000</v>
      </c>
      <c r="T264" s="3">
        <f>+R264+S264</f>
        <v>440000</v>
      </c>
      <c r="U264" s="3">
        <f>+T264-P264</f>
        <v>-57500</v>
      </c>
      <c r="V264" s="3">
        <f>+T264-Q264</f>
        <v>-57500</v>
      </c>
      <c r="W264" s="3">
        <v>555000</v>
      </c>
      <c r="X264" s="3">
        <f>+W264-P264</f>
        <v>57500</v>
      </c>
      <c r="Y264" s="10">
        <f>+X264/P264</f>
        <v>0.11557788944723618</v>
      </c>
      <c r="Z264" s="4" t="s">
        <v>427</v>
      </c>
      <c r="AA264" s="4"/>
      <c r="AB264" s="5"/>
      <c r="AC264" s="5"/>
      <c r="AD264" s="5"/>
      <c r="AE264" s="5"/>
    </row>
    <row r="265" spans="1:31" ht="15.75" customHeight="1" x14ac:dyDescent="0.25">
      <c r="A265" s="1" t="s">
        <v>42</v>
      </c>
      <c r="B265" s="11">
        <f t="shared" ref="B265:X265" si="104">SUM(B264)</f>
        <v>307467.62</v>
      </c>
      <c r="C265" s="11">
        <f t="shared" si="104"/>
        <v>290069</v>
      </c>
      <c r="D265" s="11">
        <f t="shared" si="104"/>
        <v>274500</v>
      </c>
      <c r="E265" s="11">
        <f t="shared" si="104"/>
        <v>289050</v>
      </c>
      <c r="F265" s="11">
        <f t="shared" si="104"/>
        <v>289050</v>
      </c>
      <c r="G265" s="11">
        <f t="shared" si="104"/>
        <v>291816</v>
      </c>
      <c r="H265" s="11">
        <f t="shared" si="104"/>
        <v>291816</v>
      </c>
      <c r="I265" s="11">
        <f t="shared" si="104"/>
        <v>277500</v>
      </c>
      <c r="J265" s="11">
        <f t="shared" si="104"/>
        <v>373279.47</v>
      </c>
      <c r="K265" s="35">
        <f t="shared" ref="K265:M265" si="105">SUM(K263:K264)</f>
        <v>372526.56</v>
      </c>
      <c r="L265" s="35">
        <f t="shared" si="105"/>
        <v>414999.96</v>
      </c>
      <c r="M265" s="35">
        <f t="shared" si="105"/>
        <v>445300</v>
      </c>
      <c r="N265" s="11">
        <f>SUM(N263:N264)</f>
        <v>470615</v>
      </c>
      <c r="O265" s="53">
        <f>SUM(O263:O264)</f>
        <v>482398.8</v>
      </c>
      <c r="P265" s="11">
        <f t="shared" si="104"/>
        <v>497500</v>
      </c>
      <c r="Q265" s="43">
        <f>SUM(Q262:Q264)</f>
        <v>497500</v>
      </c>
      <c r="R265" s="43">
        <f>SUM(R262:R264)</f>
        <v>282000</v>
      </c>
      <c r="S265" s="11">
        <f t="shared" si="104"/>
        <v>160000</v>
      </c>
      <c r="T265" s="11">
        <f>SUM(T263:T264)</f>
        <v>442000</v>
      </c>
      <c r="U265" s="11">
        <f>SUM(U263:U264)</f>
        <v>-55500</v>
      </c>
      <c r="V265" s="11">
        <f t="shared" ref="V265:W265" si="106">SUM(V263:V264)</f>
        <v>-55500</v>
      </c>
      <c r="W265" s="11">
        <f t="shared" si="106"/>
        <v>555000</v>
      </c>
      <c r="X265" s="11">
        <f t="shared" si="104"/>
        <v>57500</v>
      </c>
      <c r="Y265" s="15">
        <f>+X265/P265</f>
        <v>0.11557788944723618</v>
      </c>
      <c r="Z265" s="4"/>
      <c r="AA265" s="4"/>
      <c r="AB265" s="5"/>
      <c r="AC265" s="5"/>
      <c r="AD265" s="5"/>
      <c r="AE265" s="5"/>
    </row>
    <row r="266" spans="1:31" ht="15.75" customHeight="1" x14ac:dyDescent="0.25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52"/>
      <c r="P266" s="3"/>
      <c r="Q266" s="42"/>
      <c r="R266" s="42"/>
      <c r="S266" s="3"/>
      <c r="T266" s="3"/>
      <c r="U266" s="3"/>
      <c r="V266" s="3"/>
      <c r="W266" s="3"/>
      <c r="X266" s="3"/>
      <c r="Y266" s="10"/>
      <c r="Z266" s="4"/>
      <c r="AA266" s="4"/>
      <c r="AB266" s="5"/>
      <c r="AC266" s="5"/>
      <c r="AD266" s="5"/>
      <c r="AE266" s="5"/>
    </row>
    <row r="267" spans="1:31" ht="15.75" customHeight="1" x14ac:dyDescent="0.25">
      <c r="A267" s="9" t="s">
        <v>233</v>
      </c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52"/>
      <c r="P267" s="3"/>
      <c r="Q267" s="42"/>
      <c r="R267" s="42"/>
      <c r="S267" s="3"/>
      <c r="T267" s="3"/>
      <c r="U267" s="3"/>
      <c r="V267" s="3"/>
      <c r="W267" s="3"/>
      <c r="X267" s="3"/>
      <c r="Y267" s="10"/>
      <c r="Z267" s="4"/>
      <c r="AA267" s="4"/>
      <c r="AB267" s="5"/>
      <c r="AC267" s="5"/>
      <c r="AD267" s="5"/>
      <c r="AE267" s="5"/>
    </row>
    <row r="268" spans="1:31" ht="15.75" customHeight="1" x14ac:dyDescent="0.25">
      <c r="A268" s="17" t="s">
        <v>234</v>
      </c>
      <c r="B268" s="3">
        <v>6312.64</v>
      </c>
      <c r="C268" s="3">
        <v>2757</v>
      </c>
      <c r="D268" s="3">
        <v>5055.88</v>
      </c>
      <c r="E268" s="3">
        <v>4195.97</v>
      </c>
      <c r="F268" s="3">
        <v>6434.81</v>
      </c>
      <c r="G268" s="3">
        <v>2710.32</v>
      </c>
      <c r="H268" s="3">
        <v>4780.46</v>
      </c>
      <c r="I268" s="3">
        <v>5179</v>
      </c>
      <c r="J268" s="3">
        <v>5328.64</v>
      </c>
      <c r="K268" s="3">
        <v>12753.41</v>
      </c>
      <c r="L268" s="3">
        <v>6448.14</v>
      </c>
      <c r="M268" s="3">
        <v>5922.48</v>
      </c>
      <c r="N268" s="3">
        <v>3758</v>
      </c>
      <c r="O268" s="52">
        <v>3474.11</v>
      </c>
      <c r="P268" s="3">
        <v>5000</v>
      </c>
      <c r="Q268" s="42">
        <v>5000</v>
      </c>
      <c r="R268" s="42">
        <v>803.74</v>
      </c>
      <c r="S268" s="3">
        <v>2500</v>
      </c>
      <c r="T268" s="3">
        <f t="shared" ref="T268:T269" si="107">+R268+S268</f>
        <v>3303.74</v>
      </c>
      <c r="U268" s="3">
        <f>+T268-P268</f>
        <v>-1696.2600000000002</v>
      </c>
      <c r="V268" s="3">
        <f>+T268-Q268</f>
        <v>-1696.2600000000002</v>
      </c>
      <c r="W268" s="3">
        <v>4000</v>
      </c>
      <c r="X268" s="3">
        <f>+W268-P268</f>
        <v>-1000</v>
      </c>
      <c r="Y268" s="10">
        <f>+X268/P268</f>
        <v>-0.2</v>
      </c>
      <c r="Z268" s="4"/>
      <c r="AA268" s="4"/>
      <c r="AB268" s="5"/>
      <c r="AC268" s="5"/>
      <c r="AD268" s="5"/>
      <c r="AE268" s="5"/>
    </row>
    <row r="269" spans="1:31" ht="15.75" hidden="1" customHeight="1" x14ac:dyDescent="0.25">
      <c r="A269" s="17" t="s">
        <v>235</v>
      </c>
      <c r="B269" s="3">
        <v>645.58000000000004</v>
      </c>
      <c r="C269" s="3">
        <v>444.88</v>
      </c>
      <c r="D269" s="3">
        <v>402.62</v>
      </c>
      <c r="E269" s="3"/>
      <c r="F269" s="3"/>
      <c r="G269" s="3">
        <v>28.19</v>
      </c>
      <c r="H269" s="3">
        <v>26.4</v>
      </c>
      <c r="I269" s="3">
        <v>495.46</v>
      </c>
      <c r="J269" s="3">
        <v>10.66</v>
      </c>
      <c r="K269" s="3"/>
      <c r="L269" s="3"/>
      <c r="M269" s="3"/>
      <c r="N269" s="3"/>
      <c r="O269" s="52"/>
      <c r="P269" s="3"/>
      <c r="Q269" s="42"/>
      <c r="R269" s="42"/>
      <c r="S269" s="3"/>
      <c r="T269" s="3">
        <f t="shared" si="107"/>
        <v>0</v>
      </c>
      <c r="U269" s="3">
        <f>+T269-P269</f>
        <v>0</v>
      </c>
      <c r="V269" s="3">
        <f>+T269-Q269</f>
        <v>0</v>
      </c>
      <c r="W269" s="3"/>
      <c r="X269" s="3">
        <f>+W269-P269</f>
        <v>0</v>
      </c>
      <c r="Y269" s="10"/>
      <c r="Z269" s="4"/>
      <c r="AA269" s="4"/>
      <c r="AB269" s="5"/>
      <c r="AC269" s="5"/>
      <c r="AD269" s="5"/>
      <c r="AE269" s="5"/>
    </row>
    <row r="270" spans="1:31" ht="15.75" customHeight="1" x14ac:dyDescent="0.25">
      <c r="A270" s="1" t="s">
        <v>42</v>
      </c>
      <c r="B270" s="11">
        <f t="shared" ref="B270:X270" si="108">SUM(B268:B269)</f>
        <v>6958.22</v>
      </c>
      <c r="C270" s="11">
        <f t="shared" si="108"/>
        <v>3201.88</v>
      </c>
      <c r="D270" s="11">
        <f t="shared" si="108"/>
        <v>5458.5</v>
      </c>
      <c r="E270" s="11">
        <f t="shared" si="108"/>
        <v>4195.97</v>
      </c>
      <c r="F270" s="11">
        <f t="shared" si="108"/>
        <v>6434.81</v>
      </c>
      <c r="G270" s="11">
        <f t="shared" si="108"/>
        <v>2738.51</v>
      </c>
      <c r="H270" s="11">
        <f t="shared" si="108"/>
        <v>4806.8599999999997</v>
      </c>
      <c r="I270" s="11">
        <f t="shared" si="108"/>
        <v>5674.46</v>
      </c>
      <c r="J270" s="11">
        <f t="shared" si="108"/>
        <v>5339.3</v>
      </c>
      <c r="K270" s="11">
        <f t="shared" si="108"/>
        <v>12753.41</v>
      </c>
      <c r="L270" s="11">
        <f t="shared" si="108"/>
        <v>6448.14</v>
      </c>
      <c r="M270" s="11">
        <f t="shared" si="108"/>
        <v>5922.48</v>
      </c>
      <c r="N270" s="11">
        <f t="shared" si="108"/>
        <v>3758</v>
      </c>
      <c r="O270" s="53">
        <f t="shared" si="108"/>
        <v>3474.11</v>
      </c>
      <c r="P270" s="11">
        <f t="shared" si="108"/>
        <v>5000</v>
      </c>
      <c r="Q270" s="43">
        <f>SUM(Q268:Q269)</f>
        <v>5000</v>
      </c>
      <c r="R270" s="43">
        <f t="shared" si="108"/>
        <v>803.74</v>
      </c>
      <c r="S270" s="11">
        <f t="shared" si="108"/>
        <v>2500</v>
      </c>
      <c r="T270" s="11">
        <f t="shared" si="108"/>
        <v>3303.74</v>
      </c>
      <c r="U270" s="11">
        <f t="shared" si="108"/>
        <v>-1696.2600000000002</v>
      </c>
      <c r="V270" s="11">
        <f t="shared" si="108"/>
        <v>-1696.2600000000002</v>
      </c>
      <c r="W270" s="11">
        <f t="shared" si="108"/>
        <v>4000</v>
      </c>
      <c r="X270" s="11">
        <f t="shared" si="108"/>
        <v>-1000</v>
      </c>
      <c r="Y270" s="10">
        <f>+X270/P270</f>
        <v>-0.2</v>
      </c>
      <c r="Z270" s="4"/>
      <c r="AA270" s="4"/>
      <c r="AB270" s="5"/>
      <c r="AC270" s="5"/>
      <c r="AD270" s="5"/>
      <c r="AE270" s="5"/>
    </row>
    <row r="271" spans="1:31" ht="15.75" customHeight="1" x14ac:dyDescent="0.25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52"/>
      <c r="P271" s="3"/>
      <c r="Q271" s="42"/>
      <c r="R271" s="42"/>
      <c r="S271" s="3"/>
      <c r="T271" s="3"/>
      <c r="U271" s="3"/>
      <c r="V271" s="3"/>
      <c r="W271" s="3"/>
      <c r="X271" s="3"/>
      <c r="Y271" s="10"/>
      <c r="Z271" s="4"/>
      <c r="AA271" s="4"/>
      <c r="AB271" s="5"/>
      <c r="AC271" s="5"/>
      <c r="AD271" s="5"/>
      <c r="AE271" s="5"/>
    </row>
    <row r="272" spans="1:31" ht="15.75" customHeight="1" x14ac:dyDescent="0.25">
      <c r="A272" s="9" t="s">
        <v>236</v>
      </c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53"/>
      <c r="P272" s="11"/>
      <c r="Q272" s="43"/>
      <c r="R272" s="43"/>
      <c r="S272" s="11"/>
      <c r="T272" s="3"/>
      <c r="U272" s="3"/>
      <c r="V272" s="3"/>
      <c r="W272" s="11"/>
      <c r="X272" s="3"/>
      <c r="Y272" s="10"/>
      <c r="Z272" s="4"/>
      <c r="AA272" s="4"/>
      <c r="AB272" s="5"/>
      <c r="AC272" s="5"/>
      <c r="AD272" s="5"/>
      <c r="AE272" s="5"/>
    </row>
    <row r="273" spans="1:31" ht="15.75" customHeight="1" x14ac:dyDescent="0.25">
      <c r="A273" s="17" t="s">
        <v>454</v>
      </c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56">
        <v>137490</v>
      </c>
      <c r="P273" s="11"/>
      <c r="Q273" s="43"/>
      <c r="R273" s="43"/>
      <c r="S273" s="11"/>
      <c r="T273" s="3"/>
      <c r="U273" s="3"/>
      <c r="V273" s="3"/>
      <c r="W273" s="11"/>
      <c r="X273" s="3"/>
      <c r="Y273" s="10"/>
      <c r="Z273" s="4"/>
      <c r="AA273" s="4"/>
      <c r="AB273" s="5"/>
      <c r="AC273" s="5"/>
      <c r="AD273" s="5"/>
      <c r="AE273" s="5"/>
    </row>
    <row r="274" spans="1:31" ht="15.75" customHeight="1" x14ac:dyDescent="0.25">
      <c r="A274" s="17" t="s">
        <v>237</v>
      </c>
      <c r="B274" s="3">
        <v>18533.97</v>
      </c>
      <c r="C274" s="3"/>
      <c r="D274" s="3">
        <v>1432.76</v>
      </c>
      <c r="E274" s="3">
        <v>129251.7</v>
      </c>
      <c r="F274" s="3">
        <v>24905.45</v>
      </c>
      <c r="G274" s="3">
        <v>12504</v>
      </c>
      <c r="H274" s="3">
        <v>26999.75</v>
      </c>
      <c r="I274" s="3">
        <v>27045.5</v>
      </c>
      <c r="J274" s="3">
        <v>22786.09</v>
      </c>
      <c r="K274" s="3">
        <v>22443</v>
      </c>
      <c r="L274" s="3">
        <v>14715.6</v>
      </c>
      <c r="M274" s="3">
        <v>15198</v>
      </c>
      <c r="N274" s="3">
        <v>52620</v>
      </c>
      <c r="O274" s="52">
        <v>11934.33</v>
      </c>
      <c r="P274" s="3">
        <v>30000</v>
      </c>
      <c r="Q274" s="42">
        <v>30000</v>
      </c>
      <c r="R274" s="42">
        <v>28835.62</v>
      </c>
      <c r="S274" s="3">
        <f>+Q274-R274</f>
        <v>1164.380000000001</v>
      </c>
      <c r="T274" s="3">
        <f t="shared" ref="T274:T276" si="109">+R274+S274</f>
        <v>30000</v>
      </c>
      <c r="U274" s="3">
        <f>+T274-P274</f>
        <v>0</v>
      </c>
      <c r="V274" s="3">
        <f>+T274-Q274</f>
        <v>0</v>
      </c>
      <c r="W274" s="3">
        <v>30000</v>
      </c>
      <c r="X274" s="3">
        <f>+W274-P274</f>
        <v>0</v>
      </c>
      <c r="Y274" s="10">
        <f>+X274/P274</f>
        <v>0</v>
      </c>
      <c r="Z274" s="4"/>
      <c r="AA274" s="4"/>
      <c r="AB274" s="5"/>
      <c r="AC274" s="5"/>
      <c r="AD274" s="5"/>
      <c r="AE274" s="5"/>
    </row>
    <row r="275" spans="1:31" ht="15.75" hidden="1" customHeight="1" x14ac:dyDescent="0.25">
      <c r="A275" s="17" t="s">
        <v>238</v>
      </c>
      <c r="B275" s="3">
        <v>14598.69</v>
      </c>
      <c r="C275" s="3">
        <v>21021</v>
      </c>
      <c r="D275" s="3">
        <v>17216.310000000001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52"/>
      <c r="P275" s="3"/>
      <c r="Q275" s="42"/>
      <c r="R275" s="42"/>
      <c r="S275" s="3"/>
      <c r="T275" s="3">
        <f t="shared" si="109"/>
        <v>0</v>
      </c>
      <c r="U275" s="3">
        <f>+T275-P275</f>
        <v>0</v>
      </c>
      <c r="V275" s="3">
        <f>+T275-Q275</f>
        <v>0</v>
      </c>
      <c r="W275" s="3"/>
      <c r="X275" s="3">
        <f>+W275-P275</f>
        <v>0</v>
      </c>
      <c r="Y275" s="10"/>
      <c r="Z275" s="4"/>
      <c r="AA275" s="4"/>
      <c r="AB275" s="5"/>
      <c r="AC275" s="5"/>
      <c r="AD275" s="5"/>
      <c r="AE275" s="5"/>
    </row>
    <row r="276" spans="1:31" ht="15.75" hidden="1" customHeight="1" x14ac:dyDescent="0.25">
      <c r="A276" s="17" t="s">
        <v>239</v>
      </c>
      <c r="B276" s="3">
        <v>40154.26</v>
      </c>
      <c r="C276" s="3">
        <v>38676</v>
      </c>
      <c r="D276" s="3">
        <v>38600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52"/>
      <c r="P276" s="3"/>
      <c r="Q276" s="42"/>
      <c r="R276" s="42"/>
      <c r="S276" s="3"/>
      <c r="T276" s="3">
        <f t="shared" si="109"/>
        <v>0</v>
      </c>
      <c r="U276" s="3">
        <f>+T276-P276</f>
        <v>0</v>
      </c>
      <c r="V276" s="3">
        <f>+T276-Q276</f>
        <v>0</v>
      </c>
      <c r="W276" s="3"/>
      <c r="X276" s="3">
        <f>+W276-P276</f>
        <v>0</v>
      </c>
      <c r="Y276" s="10"/>
      <c r="Z276" s="4"/>
      <c r="AA276" s="4"/>
      <c r="AB276" s="5"/>
      <c r="AC276" s="5"/>
      <c r="AD276" s="5"/>
      <c r="AE276" s="5"/>
    </row>
    <row r="277" spans="1:31" ht="15.75" customHeight="1" x14ac:dyDescent="0.25">
      <c r="A277" s="1" t="s">
        <v>240</v>
      </c>
      <c r="B277" s="11">
        <f t="shared" ref="B277:X277" si="110">SUM(B274:B276)</f>
        <v>73286.920000000013</v>
      </c>
      <c r="C277" s="11">
        <f t="shared" si="110"/>
        <v>59697</v>
      </c>
      <c r="D277" s="11">
        <f t="shared" si="110"/>
        <v>57249.07</v>
      </c>
      <c r="E277" s="11">
        <f t="shared" si="110"/>
        <v>129251.7</v>
      </c>
      <c r="F277" s="11">
        <f t="shared" si="110"/>
        <v>24905.45</v>
      </c>
      <c r="G277" s="11">
        <f t="shared" si="110"/>
        <v>12504</v>
      </c>
      <c r="H277" s="11">
        <f t="shared" si="110"/>
        <v>26999.75</v>
      </c>
      <c r="I277" s="11">
        <f t="shared" si="110"/>
        <v>27045.5</v>
      </c>
      <c r="J277" s="11">
        <f t="shared" si="110"/>
        <v>22786.09</v>
      </c>
      <c r="K277" s="11">
        <f t="shared" si="110"/>
        <v>22443</v>
      </c>
      <c r="L277" s="11">
        <f t="shared" si="110"/>
        <v>14715.6</v>
      </c>
      <c r="M277" s="11">
        <f t="shared" si="110"/>
        <v>15198</v>
      </c>
      <c r="N277" s="11">
        <f t="shared" si="110"/>
        <v>52620</v>
      </c>
      <c r="O277" s="53">
        <f>SUM(O273:O276)</f>
        <v>149424.32999999999</v>
      </c>
      <c r="P277" s="11">
        <f t="shared" si="110"/>
        <v>30000</v>
      </c>
      <c r="Q277" s="43">
        <f>SUM(Q273:Q276)</f>
        <v>30000</v>
      </c>
      <c r="R277" s="43">
        <f>SUM(R273:R276)</f>
        <v>28835.62</v>
      </c>
      <c r="S277" s="11">
        <f t="shared" si="110"/>
        <v>1164.380000000001</v>
      </c>
      <c r="T277" s="11">
        <f t="shared" si="110"/>
        <v>30000</v>
      </c>
      <c r="U277" s="11">
        <f t="shared" si="110"/>
        <v>0</v>
      </c>
      <c r="V277" s="11">
        <f t="shared" si="110"/>
        <v>0</v>
      </c>
      <c r="W277" s="11">
        <f t="shared" si="110"/>
        <v>30000</v>
      </c>
      <c r="X277" s="11">
        <f t="shared" si="110"/>
        <v>0</v>
      </c>
      <c r="Y277" s="15">
        <f>+X277/P277</f>
        <v>0</v>
      </c>
      <c r="Z277" s="4"/>
      <c r="AA277" s="4"/>
      <c r="AB277" s="5"/>
      <c r="AC277" s="5"/>
      <c r="AD277" s="5"/>
      <c r="AE277" s="5"/>
    </row>
    <row r="278" spans="1:31" ht="15.75" customHeight="1" x14ac:dyDescent="0.25">
      <c r="A278" s="1" t="s">
        <v>241</v>
      </c>
      <c r="B278" s="13">
        <f t="shared" ref="B278:X278" si="111">+B256+B260+B265+B270+B277</f>
        <v>397296.05999999994</v>
      </c>
      <c r="C278" s="13">
        <f t="shared" si="111"/>
        <v>359219.88</v>
      </c>
      <c r="D278" s="13">
        <f t="shared" si="111"/>
        <v>341518.41000000003</v>
      </c>
      <c r="E278" s="13">
        <f t="shared" si="111"/>
        <v>427754.5</v>
      </c>
      <c r="F278" s="13">
        <f t="shared" si="111"/>
        <v>331937.36</v>
      </c>
      <c r="G278" s="13">
        <f t="shared" si="111"/>
        <v>315211.68</v>
      </c>
      <c r="H278" s="13">
        <f t="shared" si="111"/>
        <v>333098.38</v>
      </c>
      <c r="I278" s="13">
        <f t="shared" si="111"/>
        <v>318120.94</v>
      </c>
      <c r="J278" s="13">
        <f t="shared" si="111"/>
        <v>405109.02999999997</v>
      </c>
      <c r="K278" s="13">
        <f t="shared" si="111"/>
        <v>411537.41</v>
      </c>
      <c r="L278" s="13">
        <f t="shared" si="111"/>
        <v>445584.88</v>
      </c>
      <c r="M278" s="13">
        <f t="shared" si="111"/>
        <v>474962.88999999996</v>
      </c>
      <c r="N278" s="13">
        <f t="shared" si="111"/>
        <v>534053</v>
      </c>
      <c r="O278" s="54">
        <f t="shared" si="111"/>
        <v>653822.99</v>
      </c>
      <c r="P278" s="13">
        <f t="shared" si="111"/>
        <v>538500</v>
      </c>
      <c r="Q278" s="44">
        <f>+Q256+Q260+Q265+Q270+Q277</f>
        <v>538500</v>
      </c>
      <c r="R278" s="44">
        <f t="shared" si="111"/>
        <v>312325.06</v>
      </c>
      <c r="S278" s="13">
        <f t="shared" si="111"/>
        <v>164264.38</v>
      </c>
      <c r="T278" s="13">
        <f t="shared" si="111"/>
        <v>476589.44</v>
      </c>
      <c r="U278" s="13">
        <f t="shared" si="111"/>
        <v>-61910.560000000005</v>
      </c>
      <c r="V278" s="13">
        <f t="shared" si="111"/>
        <v>-61910.560000000005</v>
      </c>
      <c r="W278" s="13">
        <f t="shared" si="111"/>
        <v>595000</v>
      </c>
      <c r="X278" s="13">
        <f t="shared" si="111"/>
        <v>56500</v>
      </c>
      <c r="Y278" s="16">
        <f>+X278/P278</f>
        <v>0.10492107706592387</v>
      </c>
      <c r="Z278" s="4"/>
      <c r="AA278" s="4"/>
      <c r="AB278" s="5"/>
      <c r="AC278" s="5"/>
      <c r="AD278" s="5"/>
      <c r="AE278" s="5"/>
    </row>
    <row r="279" spans="1:31" ht="15.75" customHeight="1" x14ac:dyDescent="0.25">
      <c r="A279" s="1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54"/>
      <c r="P279" s="13"/>
      <c r="Q279" s="44"/>
      <c r="R279" s="44"/>
      <c r="S279" s="13"/>
      <c r="T279" s="3"/>
      <c r="U279" s="3"/>
      <c r="V279" s="3"/>
      <c r="W279" s="13"/>
      <c r="X279" s="3"/>
      <c r="Y279" s="10"/>
      <c r="Z279" s="4"/>
      <c r="AA279" s="4"/>
      <c r="AB279" s="5"/>
      <c r="AC279" s="5"/>
      <c r="AD279" s="5"/>
      <c r="AE279" s="5"/>
    </row>
    <row r="280" spans="1:31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2"/>
      <c r="P280" s="5"/>
      <c r="Q280" s="40"/>
      <c r="R280" s="42"/>
      <c r="S280" s="3"/>
      <c r="T280" s="3"/>
      <c r="U280" s="3"/>
      <c r="V280" s="3"/>
      <c r="W280" s="5"/>
      <c r="X280" s="3"/>
      <c r="Y280" s="10"/>
      <c r="Z280" s="4"/>
      <c r="AA280" s="4"/>
      <c r="AB280" s="5"/>
      <c r="AC280" s="5"/>
      <c r="AD280" s="5"/>
      <c r="AE280" s="5"/>
    </row>
    <row r="281" spans="1:31" ht="15.75" customHeight="1" x14ac:dyDescent="0.25">
      <c r="A281" s="8" t="s">
        <v>242</v>
      </c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55"/>
      <c r="P281" s="7"/>
      <c r="Q281" s="45"/>
      <c r="R281" s="45"/>
      <c r="S281" s="7"/>
      <c r="T281" s="3"/>
      <c r="U281" s="3"/>
      <c r="V281" s="3"/>
      <c r="W281" s="7"/>
      <c r="X281" s="3"/>
      <c r="Y281" s="10"/>
      <c r="Z281" s="4"/>
      <c r="AA281" s="4"/>
      <c r="AB281" s="5"/>
      <c r="AC281" s="5"/>
      <c r="AD281" s="5"/>
      <c r="AE281" s="5"/>
    </row>
    <row r="282" spans="1:31" ht="15.75" customHeight="1" x14ac:dyDescent="0.25">
      <c r="A282" s="5" t="s">
        <v>243</v>
      </c>
      <c r="B282" s="3">
        <v>74380.600000000006</v>
      </c>
      <c r="C282" s="3">
        <v>78383</v>
      </c>
      <c r="D282" s="3">
        <v>85208.73</v>
      </c>
      <c r="E282" s="3">
        <v>62022</v>
      </c>
      <c r="F282" s="3">
        <v>45766.33</v>
      </c>
      <c r="G282" s="3">
        <v>53940.5</v>
      </c>
      <c r="H282" s="3">
        <v>52597.49</v>
      </c>
      <c r="I282" s="3">
        <v>47789.34</v>
      </c>
      <c r="J282" s="3">
        <v>71473.5</v>
      </c>
      <c r="K282" s="3">
        <v>57556.67</v>
      </c>
      <c r="L282" s="3">
        <v>64513.84</v>
      </c>
      <c r="M282" s="3">
        <v>63544.66</v>
      </c>
      <c r="N282" s="3">
        <v>59376</v>
      </c>
      <c r="O282" s="52">
        <v>56887.33</v>
      </c>
      <c r="P282" s="3">
        <v>88200</v>
      </c>
      <c r="Q282" s="42">
        <v>88200</v>
      </c>
      <c r="R282" s="42">
        <v>62116.67</v>
      </c>
      <c r="S282" s="3">
        <v>13968</v>
      </c>
      <c r="T282" s="3">
        <f t="shared" ref="T282:T291" si="112">+R282+S282</f>
        <v>76084.67</v>
      </c>
      <c r="U282" s="3">
        <f t="shared" ref="U282:U290" si="113">+T282-P282</f>
        <v>-12115.330000000002</v>
      </c>
      <c r="V282" s="3">
        <f t="shared" ref="V282:V292" si="114">+T282-Q282</f>
        <v>-12115.330000000002</v>
      </c>
      <c r="W282" s="3">
        <v>86700</v>
      </c>
      <c r="X282" s="3">
        <f t="shared" ref="X282:X291" si="115">+W282-P282</f>
        <v>-1500</v>
      </c>
      <c r="Y282" s="10">
        <f>+X282/P282</f>
        <v>-1.7006802721088437E-2</v>
      </c>
      <c r="Z282" s="4"/>
      <c r="AA282" s="4"/>
      <c r="AB282" s="5"/>
      <c r="AC282" s="5"/>
      <c r="AD282" s="5"/>
      <c r="AE282" s="5"/>
    </row>
    <row r="283" spans="1:31" ht="15.75" customHeight="1" x14ac:dyDescent="0.25">
      <c r="A283" s="5" t="s">
        <v>244</v>
      </c>
      <c r="B283" s="3">
        <v>98754.09</v>
      </c>
      <c r="C283" s="3">
        <v>149200</v>
      </c>
      <c r="D283" s="3">
        <v>183381.75</v>
      </c>
      <c r="E283" s="3">
        <v>169745</v>
      </c>
      <c r="F283" s="3">
        <v>121437.83</v>
      </c>
      <c r="G283" s="3">
        <v>151860.5</v>
      </c>
      <c r="H283" s="3">
        <v>162782.84</v>
      </c>
      <c r="I283" s="3">
        <v>166082.5</v>
      </c>
      <c r="J283" s="3">
        <v>192550.83</v>
      </c>
      <c r="K283" s="3">
        <v>196149.67</v>
      </c>
      <c r="L283" s="3">
        <v>209991.5</v>
      </c>
      <c r="M283" s="3">
        <v>238609.83</v>
      </c>
      <c r="N283" s="3">
        <v>254133</v>
      </c>
      <c r="O283" s="52">
        <v>247792.17</v>
      </c>
      <c r="P283" s="3">
        <v>281685</v>
      </c>
      <c r="Q283" s="42">
        <v>281685</v>
      </c>
      <c r="R283" s="42">
        <v>224418.33</v>
      </c>
      <c r="S283" s="3">
        <v>52704</v>
      </c>
      <c r="T283" s="3">
        <f t="shared" si="112"/>
        <v>277122.32999999996</v>
      </c>
      <c r="U283" s="3">
        <f t="shared" si="113"/>
        <v>-4562.6700000000419</v>
      </c>
      <c r="V283" s="3">
        <f t="shared" si="114"/>
        <v>-4562.6700000000419</v>
      </c>
      <c r="W283" s="3">
        <v>326800</v>
      </c>
      <c r="X283" s="3">
        <f t="shared" si="115"/>
        <v>45115</v>
      </c>
      <c r="Y283" s="10">
        <f>+X283/P283</f>
        <v>0.16016117294140619</v>
      </c>
      <c r="Z283" s="4"/>
      <c r="AA283" s="4"/>
      <c r="AB283" s="5"/>
      <c r="AC283" s="5"/>
      <c r="AD283" s="5"/>
      <c r="AE283" s="5"/>
    </row>
    <row r="284" spans="1:31" ht="15.75" customHeight="1" x14ac:dyDescent="0.25">
      <c r="A284" s="5" t="s">
        <v>245</v>
      </c>
      <c r="B284" s="3">
        <v>76083.89</v>
      </c>
      <c r="C284" s="3">
        <v>84408</v>
      </c>
      <c r="D284" s="3">
        <v>81964.81</v>
      </c>
      <c r="E284" s="3">
        <v>78423.820000000007</v>
      </c>
      <c r="F284" s="3">
        <v>80720.62</v>
      </c>
      <c r="G284" s="3">
        <v>82687.86</v>
      </c>
      <c r="H284" s="3">
        <v>84406.06</v>
      </c>
      <c r="I284" s="3">
        <v>94262.31</v>
      </c>
      <c r="J284" s="3">
        <v>86510.56</v>
      </c>
      <c r="K284" s="3">
        <v>89706.96</v>
      </c>
      <c r="L284" s="3">
        <v>108836.49</v>
      </c>
      <c r="M284" s="3">
        <v>111730.12</v>
      </c>
      <c r="N284" s="3">
        <v>145293</v>
      </c>
      <c r="O284" s="52">
        <v>147008.25</v>
      </c>
      <c r="P284" s="3">
        <v>160196</v>
      </c>
      <c r="Q284" s="42">
        <v>160196</v>
      </c>
      <c r="R284" s="42">
        <f>99177-47</f>
        <v>99130</v>
      </c>
      <c r="S284" s="3">
        <f>+(+S11+S18+S19+S20+S21+S29+S37+S38+S50+S80+S79+S106+S107+S108+S109+S110+S111+S112+S143+S151+S152+S208+S213+S214+S215+S243+S255+S175)*0.0765</f>
        <v>52650.974295000007</v>
      </c>
      <c r="T284" s="3">
        <f t="shared" si="112"/>
        <v>151780.97429500002</v>
      </c>
      <c r="U284" s="3">
        <f t="shared" si="113"/>
        <v>-8415.0257049999782</v>
      </c>
      <c r="V284" s="3">
        <f t="shared" si="114"/>
        <v>-8415.0257049999782</v>
      </c>
      <c r="W284" s="3">
        <v>167104</v>
      </c>
      <c r="X284" s="3">
        <f t="shared" si="115"/>
        <v>6908</v>
      </c>
      <c r="Y284" s="10">
        <f>+X284/P284</f>
        <v>4.3122175335214362E-2</v>
      </c>
      <c r="Z284" s="4"/>
      <c r="AA284" s="4"/>
      <c r="AB284" s="5"/>
      <c r="AC284" s="5"/>
      <c r="AD284" s="5"/>
      <c r="AE284" s="5"/>
    </row>
    <row r="285" spans="1:31" ht="15.75" customHeight="1" x14ac:dyDescent="0.25">
      <c r="A285" s="5" t="s">
        <v>246</v>
      </c>
      <c r="B285" s="3">
        <v>17915.240000000002</v>
      </c>
      <c r="C285" s="3">
        <v>19886</v>
      </c>
      <c r="D285" s="3">
        <v>19290.849999999999</v>
      </c>
      <c r="E285" s="3">
        <v>18369.55</v>
      </c>
      <c r="F285" s="3">
        <v>18916.57</v>
      </c>
      <c r="G285" s="3">
        <v>19501.22</v>
      </c>
      <c r="H285" s="3">
        <v>20024.29</v>
      </c>
      <c r="I285" s="3">
        <v>22272.12</v>
      </c>
      <c r="J285" s="3">
        <v>20456.169999999998</v>
      </c>
      <c r="K285" s="3">
        <v>21388.240000000002</v>
      </c>
      <c r="L285" s="3">
        <v>25632.54</v>
      </c>
      <c r="M285" s="3">
        <v>22536.38</v>
      </c>
      <c r="N285" s="3">
        <v>0</v>
      </c>
      <c r="O285" s="52">
        <v>0</v>
      </c>
      <c r="P285" s="3"/>
      <c r="Q285" s="42">
        <v>0</v>
      </c>
      <c r="R285" s="42">
        <v>0</v>
      </c>
      <c r="S285" s="3">
        <v>0</v>
      </c>
      <c r="T285" s="3">
        <f t="shared" si="112"/>
        <v>0</v>
      </c>
      <c r="U285" s="3">
        <f t="shared" si="113"/>
        <v>0</v>
      </c>
      <c r="V285" s="3">
        <f t="shared" si="114"/>
        <v>0</v>
      </c>
      <c r="W285" s="3"/>
      <c r="X285" s="3">
        <f t="shared" si="115"/>
        <v>0</v>
      </c>
      <c r="Y285" s="10"/>
      <c r="Z285" s="4"/>
      <c r="AA285" s="4"/>
      <c r="AB285" s="5"/>
      <c r="AC285" s="5"/>
      <c r="AD285" s="5"/>
      <c r="AE285" s="5"/>
    </row>
    <row r="286" spans="1:31" ht="15.75" customHeight="1" x14ac:dyDescent="0.25">
      <c r="A286" s="5" t="s">
        <v>247</v>
      </c>
      <c r="B286" s="3">
        <v>88105.34</v>
      </c>
      <c r="C286" s="3">
        <v>60513</v>
      </c>
      <c r="D286" s="3">
        <v>71634.570000000007</v>
      </c>
      <c r="E286" s="3">
        <v>73542.600000000006</v>
      </c>
      <c r="F286" s="3">
        <v>41451.35</v>
      </c>
      <c r="G286" s="3">
        <v>48830.09</v>
      </c>
      <c r="H286" s="3">
        <v>49950.02</v>
      </c>
      <c r="I286" s="3">
        <v>53091.25</v>
      </c>
      <c r="J286" s="3">
        <v>28034.83</v>
      </c>
      <c r="K286" s="3">
        <v>49367.86</v>
      </c>
      <c r="L286" s="3">
        <v>47388.44</v>
      </c>
      <c r="M286" s="3">
        <v>38956.9</v>
      </c>
      <c r="N286" s="3">
        <v>48662</v>
      </c>
      <c r="O286" s="52">
        <v>37720.42</v>
      </c>
      <c r="P286" s="3">
        <v>45000</v>
      </c>
      <c r="Q286" s="42">
        <v>45000</v>
      </c>
      <c r="R286" s="42">
        <v>34545</v>
      </c>
      <c r="S286" s="3">
        <f>+(646.36*9)</f>
        <v>5817.24</v>
      </c>
      <c r="T286" s="3">
        <f t="shared" si="112"/>
        <v>40362.239999999998</v>
      </c>
      <c r="U286" s="3">
        <f t="shared" si="113"/>
        <v>-4637.760000000002</v>
      </c>
      <c r="V286" s="3">
        <f t="shared" si="114"/>
        <v>-4637.760000000002</v>
      </c>
      <c r="W286" s="3">
        <v>41000</v>
      </c>
      <c r="X286" s="3">
        <f t="shared" si="115"/>
        <v>-4000</v>
      </c>
      <c r="Y286" s="10">
        <f>+X286/P286</f>
        <v>-8.8888888888888892E-2</v>
      </c>
      <c r="Z286" s="4" t="s">
        <v>428</v>
      </c>
      <c r="AA286" s="4"/>
      <c r="AB286" s="5"/>
      <c r="AC286" s="5"/>
      <c r="AD286" s="5"/>
      <c r="AE286" s="5"/>
    </row>
    <row r="287" spans="1:31" ht="15.75" customHeight="1" x14ac:dyDescent="0.25">
      <c r="A287" s="5" t="s">
        <v>248</v>
      </c>
      <c r="B287" s="3"/>
      <c r="C287" s="3"/>
      <c r="D287" s="3"/>
      <c r="E287" s="3"/>
      <c r="F287" s="3"/>
      <c r="G287" s="3"/>
      <c r="H287" s="3">
        <v>1180</v>
      </c>
      <c r="I287" s="3">
        <v>867.07</v>
      </c>
      <c r="J287" s="3">
        <v>1077.5999999999999</v>
      </c>
      <c r="K287" s="3">
        <v>964.89</v>
      </c>
      <c r="L287" s="3">
        <v>803.6</v>
      </c>
      <c r="M287" s="3">
        <v>455.64</v>
      </c>
      <c r="N287" s="3">
        <v>624</v>
      </c>
      <c r="O287" s="52">
        <v>740.7</v>
      </c>
      <c r="P287" s="3">
        <v>800</v>
      </c>
      <c r="Q287" s="42">
        <v>800</v>
      </c>
      <c r="R287" s="42">
        <v>303.36</v>
      </c>
      <c r="S287" s="3">
        <f>155*2</f>
        <v>310</v>
      </c>
      <c r="T287" s="3">
        <f t="shared" si="112"/>
        <v>613.36</v>
      </c>
      <c r="U287" s="3">
        <f t="shared" si="113"/>
        <v>-186.64</v>
      </c>
      <c r="V287" s="3">
        <f t="shared" si="114"/>
        <v>-186.64</v>
      </c>
      <c r="W287" s="3">
        <v>800</v>
      </c>
      <c r="X287" s="3">
        <f t="shared" si="115"/>
        <v>0</v>
      </c>
      <c r="Y287" s="10">
        <f>+X287/P287</f>
        <v>0</v>
      </c>
      <c r="Z287" s="64"/>
      <c r="AA287" s="4"/>
      <c r="AB287" s="5"/>
      <c r="AC287" s="5"/>
      <c r="AD287" s="5"/>
      <c r="AE287" s="5"/>
    </row>
    <row r="288" spans="1:31" ht="15.75" hidden="1" customHeight="1" x14ac:dyDescent="0.25">
      <c r="A288" s="5" t="s">
        <v>249</v>
      </c>
      <c r="B288" s="3">
        <v>1500.6</v>
      </c>
      <c r="C288" s="3">
        <v>2239</v>
      </c>
      <c r="D288" s="3">
        <v>10935</v>
      </c>
      <c r="E288" s="3">
        <v>9720</v>
      </c>
      <c r="F288" s="3"/>
      <c r="G288" s="3"/>
      <c r="H288" s="3"/>
      <c r="I288" s="3">
        <v>1773.4</v>
      </c>
      <c r="J288" s="3"/>
      <c r="K288" s="3">
        <v>8527.6</v>
      </c>
      <c r="L288" s="3"/>
      <c r="M288" s="3"/>
      <c r="N288" s="3"/>
      <c r="O288" s="52"/>
      <c r="P288" s="3"/>
      <c r="Q288" s="42"/>
      <c r="R288" s="42">
        <v>0</v>
      </c>
      <c r="S288" s="3"/>
      <c r="T288" s="3">
        <f t="shared" si="112"/>
        <v>0</v>
      </c>
      <c r="U288" s="3">
        <f t="shared" si="113"/>
        <v>0</v>
      </c>
      <c r="V288" s="3">
        <f t="shared" si="114"/>
        <v>0</v>
      </c>
      <c r="W288" s="3">
        <v>0</v>
      </c>
      <c r="X288" s="3">
        <f t="shared" si="115"/>
        <v>0</v>
      </c>
      <c r="Y288" s="10"/>
      <c r="Z288" s="4"/>
      <c r="AA288" s="4"/>
      <c r="AB288" s="5"/>
      <c r="AC288" s="5"/>
      <c r="AD288" s="5"/>
      <c r="AE288" s="5"/>
    </row>
    <row r="289" spans="1:31" ht="15.75" customHeight="1" x14ac:dyDescent="0.25">
      <c r="A289" s="5" t="s">
        <v>250</v>
      </c>
      <c r="B289" s="3">
        <v>1611.2</v>
      </c>
      <c r="C289" s="3">
        <v>1565</v>
      </c>
      <c r="D289" s="3">
        <v>1603.2</v>
      </c>
      <c r="E289" s="3">
        <v>1707</v>
      </c>
      <c r="F289" s="3">
        <v>1663.8</v>
      </c>
      <c r="G289" s="3">
        <v>1650</v>
      </c>
      <c r="H289" s="3">
        <v>1619</v>
      </c>
      <c r="I289" s="3"/>
      <c r="J289" s="3">
        <v>1889.4</v>
      </c>
      <c r="K289" s="3">
        <v>1784.65</v>
      </c>
      <c r="L289" s="3">
        <v>2042.55</v>
      </c>
      <c r="M289" s="3">
        <v>1427.9</v>
      </c>
      <c r="N289" s="3">
        <v>1883</v>
      </c>
      <c r="O289" s="52">
        <v>994.4</v>
      </c>
      <c r="P289" s="3">
        <v>2000</v>
      </c>
      <c r="Q289" s="42">
        <v>2000</v>
      </c>
      <c r="R289" s="42">
        <v>1494</v>
      </c>
      <c r="S289" s="3">
        <v>500</v>
      </c>
      <c r="T289" s="3">
        <f t="shared" si="112"/>
        <v>1994</v>
      </c>
      <c r="U289" s="3">
        <f t="shared" si="113"/>
        <v>-6</v>
      </c>
      <c r="V289" s="3">
        <f t="shared" si="114"/>
        <v>-6</v>
      </c>
      <c r="W289" s="3">
        <v>2000</v>
      </c>
      <c r="X289" s="3">
        <f t="shared" si="115"/>
        <v>0</v>
      </c>
      <c r="Y289" s="10">
        <f>+X289/P289</f>
        <v>0</v>
      </c>
      <c r="Z289" s="4"/>
      <c r="AA289" s="4"/>
      <c r="AB289" s="5"/>
      <c r="AC289" s="5"/>
      <c r="AD289" s="5"/>
      <c r="AE289" s="5"/>
    </row>
    <row r="290" spans="1:31" ht="15.75" customHeight="1" x14ac:dyDescent="0.25">
      <c r="A290" s="5" t="s">
        <v>251</v>
      </c>
      <c r="B290" s="3">
        <v>194111.41</v>
      </c>
      <c r="C290" s="3">
        <v>229039</v>
      </c>
      <c r="D290" s="3">
        <v>266641.96000000002</v>
      </c>
      <c r="E290" s="3">
        <v>264363.46999999997</v>
      </c>
      <c r="F290" s="3">
        <v>259131.14</v>
      </c>
      <c r="G290" s="3">
        <v>299552.40999999997</v>
      </c>
      <c r="H290" s="3">
        <v>313022.71000000002</v>
      </c>
      <c r="I290" s="3">
        <v>321215.09000000003</v>
      </c>
      <c r="J290" s="3">
        <v>302780.25</v>
      </c>
      <c r="K290" s="3">
        <v>319769.46999999997</v>
      </c>
      <c r="L290" s="3">
        <v>321902.62</v>
      </c>
      <c r="M290" s="3">
        <v>407900.07</v>
      </c>
      <c r="N290" s="3">
        <v>389218</v>
      </c>
      <c r="O290" s="52">
        <v>360704.04</v>
      </c>
      <c r="P290" s="3">
        <v>363518</v>
      </c>
      <c r="Q290" s="42">
        <v>363518</v>
      </c>
      <c r="R290" s="42">
        <v>267584</v>
      </c>
      <c r="S290" s="3">
        <f>+(36167*3)-10701</f>
        <v>97800</v>
      </c>
      <c r="T290" s="3">
        <f t="shared" si="112"/>
        <v>365384</v>
      </c>
      <c r="U290" s="3">
        <f t="shared" si="113"/>
        <v>1866</v>
      </c>
      <c r="V290" s="3">
        <f t="shared" si="114"/>
        <v>1866</v>
      </c>
      <c r="W290" s="3">
        <v>369700</v>
      </c>
      <c r="X290" s="3">
        <f t="shared" si="115"/>
        <v>6182</v>
      </c>
      <c r="Y290" s="10">
        <f>+X290/P290</f>
        <v>1.7006035464543708E-2</v>
      </c>
      <c r="Z290" s="57" t="s">
        <v>429</v>
      </c>
      <c r="AA290" s="4"/>
      <c r="AB290" s="5"/>
      <c r="AC290" s="5"/>
      <c r="AD290" s="5"/>
      <c r="AE290" s="5"/>
    </row>
    <row r="291" spans="1:31" ht="15.75" customHeight="1" x14ac:dyDescent="0.25">
      <c r="A291" s="34" t="s">
        <v>445</v>
      </c>
      <c r="B291" s="3">
        <v>1446</v>
      </c>
      <c r="C291" s="3">
        <v>1192</v>
      </c>
      <c r="D291" s="3">
        <v>3776.4</v>
      </c>
      <c r="E291" s="3">
        <v>3776.4</v>
      </c>
      <c r="F291" s="3">
        <v>3776.4</v>
      </c>
      <c r="G291" s="3">
        <v>8707.2000000000007</v>
      </c>
      <c r="H291" s="3">
        <v>5420</v>
      </c>
      <c r="I291" s="3">
        <v>6432</v>
      </c>
      <c r="J291" s="3">
        <v>5653.8</v>
      </c>
      <c r="K291" s="3">
        <v>11321.15</v>
      </c>
      <c r="L291" s="3">
        <v>11712.6</v>
      </c>
      <c r="M291" s="3">
        <v>-11844.18</v>
      </c>
      <c r="N291" s="3">
        <v>18110</v>
      </c>
      <c r="O291" s="52">
        <v>22714.22</v>
      </c>
      <c r="P291" s="3">
        <v>27236</v>
      </c>
      <c r="Q291" s="42">
        <v>27236</v>
      </c>
      <c r="R291" s="42">
        <v>32500</v>
      </c>
      <c r="S291" s="3"/>
      <c r="T291" s="3">
        <f t="shared" si="112"/>
        <v>32500</v>
      </c>
      <c r="U291" s="3">
        <f>+T291-P291</f>
        <v>5264</v>
      </c>
      <c r="V291" s="3">
        <f t="shared" si="114"/>
        <v>5264</v>
      </c>
      <c r="W291" s="3">
        <v>36522</v>
      </c>
      <c r="X291" s="3">
        <f t="shared" si="115"/>
        <v>9286</v>
      </c>
      <c r="Y291" s="10">
        <f>+X291/P291</f>
        <v>0.34094580702012045</v>
      </c>
      <c r="Z291" s="57" t="s">
        <v>430</v>
      </c>
      <c r="AA291" s="4"/>
      <c r="AB291" s="5"/>
      <c r="AC291" s="5"/>
      <c r="AD291" s="5"/>
      <c r="AE291" s="5"/>
    </row>
    <row r="292" spans="1:31" ht="15.75" customHeight="1" x14ac:dyDescent="0.25">
      <c r="A292" s="1" t="s">
        <v>252</v>
      </c>
      <c r="B292" s="11">
        <f t="shared" ref="B292:U292" si="116">SUM(B282:B291)</f>
        <v>553908.37</v>
      </c>
      <c r="C292" s="11">
        <f t="shared" si="116"/>
        <v>626425</v>
      </c>
      <c r="D292" s="11">
        <f t="shared" si="116"/>
        <v>724437.27</v>
      </c>
      <c r="E292" s="11">
        <f t="shared" si="116"/>
        <v>681669.84</v>
      </c>
      <c r="F292" s="11">
        <f t="shared" si="116"/>
        <v>572864.03999999992</v>
      </c>
      <c r="G292" s="11">
        <f t="shared" si="116"/>
        <v>666729.7799999998</v>
      </c>
      <c r="H292" s="11">
        <f t="shared" si="116"/>
        <v>691002.41</v>
      </c>
      <c r="I292" s="11">
        <f t="shared" si="116"/>
        <v>713785.08000000007</v>
      </c>
      <c r="J292" s="11">
        <f t="shared" si="116"/>
        <v>710426.94</v>
      </c>
      <c r="K292" s="11">
        <f t="shared" si="116"/>
        <v>756537.16</v>
      </c>
      <c r="L292" s="11">
        <f t="shared" si="116"/>
        <v>792824.17999999982</v>
      </c>
      <c r="M292" s="11">
        <f t="shared" si="116"/>
        <v>873317.32</v>
      </c>
      <c r="N292" s="11">
        <f t="shared" si="116"/>
        <v>917299</v>
      </c>
      <c r="O292" s="53">
        <f t="shared" si="116"/>
        <v>874561.53</v>
      </c>
      <c r="P292" s="11">
        <f t="shared" si="116"/>
        <v>968635</v>
      </c>
      <c r="Q292" s="43">
        <f>SUM(Q282:Q291)</f>
        <v>968635</v>
      </c>
      <c r="R292" s="43">
        <f t="shared" si="116"/>
        <v>722091.36</v>
      </c>
      <c r="S292" s="11">
        <f t="shared" si="116"/>
        <v>223750.21429500001</v>
      </c>
      <c r="T292" s="11">
        <f t="shared" si="116"/>
        <v>945841.57429499994</v>
      </c>
      <c r="U292" s="11">
        <f t="shared" si="116"/>
        <v>-22793.425705000023</v>
      </c>
      <c r="V292" s="3">
        <f t="shared" si="114"/>
        <v>-22793.42570500006</v>
      </c>
      <c r="W292" s="11">
        <f t="shared" ref="W292:X292" si="117">SUM(W282:W291)</f>
        <v>1030626</v>
      </c>
      <c r="X292" s="11">
        <f t="shared" si="117"/>
        <v>61991</v>
      </c>
      <c r="Y292" s="15">
        <f>+X292/P292</f>
        <v>6.3998306895786339E-2</v>
      </c>
      <c r="Z292" s="4"/>
      <c r="AA292" s="4"/>
      <c r="AB292" s="5"/>
      <c r="AC292" s="5"/>
      <c r="AD292" s="5"/>
      <c r="AE292" s="5"/>
    </row>
    <row r="293" spans="1:31" ht="15.75" customHeight="1" x14ac:dyDescent="0.25">
      <c r="A293" s="1" t="s">
        <v>252</v>
      </c>
      <c r="B293" s="13">
        <f t="shared" ref="B293:X293" si="118">+B292</f>
        <v>553908.37</v>
      </c>
      <c r="C293" s="13">
        <f t="shared" si="118"/>
        <v>626425</v>
      </c>
      <c r="D293" s="13">
        <f t="shared" si="118"/>
        <v>724437.27</v>
      </c>
      <c r="E293" s="13">
        <f t="shared" si="118"/>
        <v>681669.84</v>
      </c>
      <c r="F293" s="13">
        <f t="shared" si="118"/>
        <v>572864.03999999992</v>
      </c>
      <c r="G293" s="13">
        <f t="shared" si="118"/>
        <v>666729.7799999998</v>
      </c>
      <c r="H293" s="13">
        <f t="shared" si="118"/>
        <v>691002.41</v>
      </c>
      <c r="I293" s="13">
        <f t="shared" si="118"/>
        <v>713785.08000000007</v>
      </c>
      <c r="J293" s="13">
        <f t="shared" si="118"/>
        <v>710426.94</v>
      </c>
      <c r="K293" s="13">
        <f t="shared" si="118"/>
        <v>756537.16</v>
      </c>
      <c r="L293" s="13">
        <f t="shared" si="118"/>
        <v>792824.17999999982</v>
      </c>
      <c r="M293" s="13">
        <f t="shared" si="118"/>
        <v>873317.32</v>
      </c>
      <c r="N293" s="13">
        <f t="shared" si="118"/>
        <v>917299</v>
      </c>
      <c r="O293" s="54">
        <f t="shared" si="118"/>
        <v>874561.53</v>
      </c>
      <c r="P293" s="13">
        <f t="shared" si="118"/>
        <v>968635</v>
      </c>
      <c r="Q293" s="44">
        <f>+Q292</f>
        <v>968635</v>
      </c>
      <c r="R293" s="44">
        <f t="shared" si="118"/>
        <v>722091.36</v>
      </c>
      <c r="S293" s="13">
        <f t="shared" si="118"/>
        <v>223750.21429500001</v>
      </c>
      <c r="T293" s="13">
        <f t="shared" si="118"/>
        <v>945841.57429499994</v>
      </c>
      <c r="U293" s="13">
        <f t="shared" si="118"/>
        <v>-22793.425705000023</v>
      </c>
      <c r="V293" s="13">
        <f t="shared" si="118"/>
        <v>-22793.42570500006</v>
      </c>
      <c r="W293" s="13">
        <f t="shared" si="118"/>
        <v>1030626</v>
      </c>
      <c r="X293" s="13">
        <f t="shared" si="118"/>
        <v>61991</v>
      </c>
      <c r="Y293" s="23">
        <f>+X293/P293</f>
        <v>6.3998306895786339E-2</v>
      </c>
      <c r="Z293" s="4"/>
      <c r="AA293" s="4"/>
      <c r="AB293" s="5"/>
      <c r="AC293" s="5"/>
      <c r="AD293" s="5"/>
      <c r="AE293" s="5"/>
    </row>
    <row r="294" spans="1:31" ht="15.75" customHeight="1" x14ac:dyDescent="0.25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52"/>
      <c r="P294" s="3"/>
      <c r="Q294" s="42"/>
      <c r="R294" s="42"/>
      <c r="S294" s="3"/>
      <c r="T294" s="3"/>
      <c r="U294" s="3"/>
      <c r="V294" s="3"/>
      <c r="W294" s="3"/>
      <c r="X294" s="3"/>
      <c r="Y294" s="10"/>
      <c r="Z294" s="4"/>
      <c r="AA294" s="4"/>
      <c r="AB294" s="5"/>
      <c r="AC294" s="5"/>
      <c r="AD294" s="5"/>
      <c r="AE294" s="5"/>
    </row>
    <row r="295" spans="1:31" ht="15.75" customHeight="1" x14ac:dyDescent="0.25">
      <c r="A295" s="8" t="s">
        <v>253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52"/>
      <c r="P295" s="3"/>
      <c r="Q295" s="42"/>
      <c r="R295" s="42"/>
      <c r="S295" s="3"/>
      <c r="T295" s="3"/>
      <c r="U295" s="3"/>
      <c r="V295" s="3"/>
      <c r="W295" s="3"/>
      <c r="X295" s="3"/>
      <c r="Y295" s="10"/>
      <c r="Z295" s="4"/>
      <c r="AA295" s="4"/>
      <c r="AB295" s="5"/>
      <c r="AC295" s="5"/>
      <c r="AD295" s="5"/>
      <c r="AE295" s="5"/>
    </row>
    <row r="296" spans="1:31" ht="15.75" hidden="1" customHeight="1" x14ac:dyDescent="0.25">
      <c r="A296" s="5" t="s">
        <v>254</v>
      </c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52"/>
      <c r="P296" s="3"/>
      <c r="Q296" s="42"/>
      <c r="R296" s="42"/>
      <c r="S296" s="3"/>
      <c r="T296" s="3">
        <f t="shared" ref="T296:T331" si="119">+R296+S296</f>
        <v>0</v>
      </c>
      <c r="U296" s="3">
        <f t="shared" ref="U296:U313" si="120">+T296-P296</f>
        <v>0</v>
      </c>
      <c r="V296" s="3">
        <f t="shared" ref="V296:V314" si="121">+T296-Q296</f>
        <v>0</v>
      </c>
      <c r="W296" s="3"/>
      <c r="X296" s="3">
        <f t="shared" ref="X296:X331" si="122">+W296-P296</f>
        <v>0</v>
      </c>
      <c r="Y296" s="10"/>
      <c r="Z296" s="4"/>
      <c r="AA296" s="4"/>
      <c r="AB296" s="5"/>
      <c r="AC296" s="5"/>
      <c r="AD296" s="5"/>
      <c r="AE296" s="5"/>
    </row>
    <row r="297" spans="1:31" ht="15.75" customHeight="1" x14ac:dyDescent="0.25">
      <c r="A297" s="5" t="s">
        <v>255</v>
      </c>
      <c r="B297" s="3">
        <v>12000</v>
      </c>
      <c r="C297" s="3">
        <v>12000</v>
      </c>
      <c r="D297" s="3"/>
      <c r="E297" s="3"/>
      <c r="F297" s="3"/>
      <c r="G297" s="3"/>
      <c r="H297" s="3"/>
      <c r="I297" s="3"/>
      <c r="J297" s="3">
        <v>3766</v>
      </c>
      <c r="K297" s="3">
        <v>3766</v>
      </c>
      <c r="L297" s="3">
        <v>3766</v>
      </c>
      <c r="M297" s="3">
        <v>7532</v>
      </c>
      <c r="N297" s="3">
        <v>0</v>
      </c>
      <c r="O297" s="52"/>
      <c r="P297" s="3"/>
      <c r="Q297" s="42"/>
      <c r="R297" s="42"/>
      <c r="S297" s="3"/>
      <c r="T297" s="3">
        <f t="shared" si="119"/>
        <v>0</v>
      </c>
      <c r="U297" s="3">
        <f t="shared" si="120"/>
        <v>0</v>
      </c>
      <c r="V297" s="3">
        <f t="shared" si="121"/>
        <v>0</v>
      </c>
      <c r="W297" s="3"/>
      <c r="X297" s="3">
        <f t="shared" si="122"/>
        <v>0</v>
      </c>
      <c r="Y297" s="10"/>
      <c r="Z297" s="4"/>
      <c r="AA297" s="4"/>
      <c r="AB297" s="5"/>
      <c r="AC297" s="5"/>
      <c r="AD297" s="5"/>
      <c r="AE297" s="5"/>
    </row>
    <row r="298" spans="1:31" ht="15.75" hidden="1" customHeight="1" x14ac:dyDescent="0.25">
      <c r="A298" s="5" t="s">
        <v>256</v>
      </c>
      <c r="B298" s="3">
        <v>6400</v>
      </c>
      <c r="C298" s="3">
        <v>6400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52"/>
      <c r="P298" s="3"/>
      <c r="Q298" s="42"/>
      <c r="R298" s="42"/>
      <c r="S298" s="3"/>
      <c r="T298" s="3">
        <f t="shared" si="119"/>
        <v>0</v>
      </c>
      <c r="U298" s="3">
        <f t="shared" si="120"/>
        <v>0</v>
      </c>
      <c r="V298" s="3">
        <f t="shared" si="121"/>
        <v>0</v>
      </c>
      <c r="W298" s="3"/>
      <c r="X298" s="3">
        <f t="shared" si="122"/>
        <v>0</v>
      </c>
      <c r="Y298" s="10"/>
      <c r="Z298" s="4"/>
      <c r="AA298" s="4"/>
      <c r="AB298" s="5"/>
      <c r="AC298" s="5"/>
      <c r="AD298" s="5"/>
      <c r="AE298" s="5"/>
    </row>
    <row r="299" spans="1:31" ht="15.75" hidden="1" customHeight="1" x14ac:dyDescent="0.25">
      <c r="A299" s="5" t="s">
        <v>257</v>
      </c>
      <c r="B299" s="3"/>
      <c r="C299" s="3">
        <v>4000</v>
      </c>
      <c r="D299" s="3">
        <v>4000</v>
      </c>
      <c r="E299" s="3">
        <v>4000</v>
      </c>
      <c r="F299" s="3">
        <v>4000</v>
      </c>
      <c r="G299" s="3">
        <v>4000</v>
      </c>
      <c r="H299" s="3"/>
      <c r="I299" s="3"/>
      <c r="J299" s="3"/>
      <c r="K299" s="3"/>
      <c r="L299" s="3"/>
      <c r="M299" s="3"/>
      <c r="N299" s="3"/>
      <c r="O299" s="52"/>
      <c r="P299" s="3"/>
      <c r="Q299" s="42"/>
      <c r="R299" s="42"/>
      <c r="S299" s="3"/>
      <c r="T299" s="3">
        <f t="shared" si="119"/>
        <v>0</v>
      </c>
      <c r="U299" s="3">
        <f t="shared" si="120"/>
        <v>0</v>
      </c>
      <c r="V299" s="3">
        <f t="shared" si="121"/>
        <v>0</v>
      </c>
      <c r="W299" s="3"/>
      <c r="X299" s="3">
        <f t="shared" si="122"/>
        <v>0</v>
      </c>
      <c r="Y299" s="10"/>
      <c r="Z299" s="4"/>
      <c r="AA299" s="4"/>
      <c r="AB299" s="5"/>
      <c r="AC299" s="5"/>
      <c r="AD299" s="5"/>
      <c r="AE299" s="5"/>
    </row>
    <row r="300" spans="1:31" ht="15.75" hidden="1" customHeight="1" x14ac:dyDescent="0.25">
      <c r="A300" s="5" t="s">
        <v>258</v>
      </c>
      <c r="B300" s="3"/>
      <c r="C300" s="3"/>
      <c r="D300" s="3"/>
      <c r="E300" s="3"/>
      <c r="F300" s="3"/>
      <c r="G300" s="3"/>
      <c r="H300" s="3"/>
      <c r="I300" s="3">
        <v>5738</v>
      </c>
      <c r="J300" s="3"/>
      <c r="K300" s="3"/>
      <c r="L300" s="3"/>
      <c r="M300" s="3"/>
      <c r="N300" s="3"/>
      <c r="O300" s="52"/>
      <c r="P300" s="3"/>
      <c r="Q300" s="42"/>
      <c r="R300" s="42"/>
      <c r="S300" s="3"/>
      <c r="T300" s="3">
        <f t="shared" si="119"/>
        <v>0</v>
      </c>
      <c r="U300" s="3">
        <f t="shared" si="120"/>
        <v>0</v>
      </c>
      <c r="V300" s="3">
        <f t="shared" si="121"/>
        <v>0</v>
      </c>
      <c r="W300" s="3"/>
      <c r="X300" s="3">
        <f t="shared" si="122"/>
        <v>0</v>
      </c>
      <c r="Y300" s="10"/>
      <c r="Z300" s="4"/>
      <c r="AA300" s="4"/>
      <c r="AB300" s="5"/>
      <c r="AC300" s="5"/>
      <c r="AD300" s="5"/>
      <c r="AE300" s="5"/>
    </row>
    <row r="301" spans="1:31" ht="15.75" hidden="1" customHeight="1" x14ac:dyDescent="0.25">
      <c r="A301" s="5" t="s">
        <v>259</v>
      </c>
      <c r="B301" s="3"/>
      <c r="C301" s="3"/>
      <c r="D301" s="3"/>
      <c r="E301" s="3">
        <v>6200</v>
      </c>
      <c r="F301" s="3">
        <v>6200</v>
      </c>
      <c r="G301" s="3">
        <v>6200</v>
      </c>
      <c r="H301" s="3">
        <v>6200</v>
      </c>
      <c r="I301" s="3"/>
      <c r="J301" s="3"/>
      <c r="K301" s="3"/>
      <c r="L301" s="3"/>
      <c r="M301" s="3"/>
      <c r="N301" s="3"/>
      <c r="O301" s="52"/>
      <c r="P301" s="3"/>
      <c r="Q301" s="42"/>
      <c r="R301" s="42"/>
      <c r="S301" s="3"/>
      <c r="T301" s="3">
        <f t="shared" si="119"/>
        <v>0</v>
      </c>
      <c r="U301" s="3">
        <f t="shared" si="120"/>
        <v>0</v>
      </c>
      <c r="V301" s="3">
        <f t="shared" si="121"/>
        <v>0</v>
      </c>
      <c r="W301" s="3"/>
      <c r="X301" s="3">
        <f t="shared" si="122"/>
        <v>0</v>
      </c>
      <c r="Y301" s="10"/>
      <c r="Z301" s="4"/>
      <c r="AA301" s="4"/>
      <c r="AB301" s="5"/>
      <c r="AC301" s="5"/>
      <c r="AD301" s="5"/>
      <c r="AE301" s="5"/>
    </row>
    <row r="302" spans="1:31" ht="15.75" hidden="1" customHeight="1" x14ac:dyDescent="0.25">
      <c r="A302" s="5" t="s">
        <v>260</v>
      </c>
      <c r="B302" s="3"/>
      <c r="C302" s="3"/>
      <c r="D302" s="3"/>
      <c r="E302" s="3">
        <v>3800</v>
      </c>
      <c r="F302" s="3">
        <v>3800</v>
      </c>
      <c r="G302" s="3">
        <v>11395</v>
      </c>
      <c r="H302" s="3"/>
      <c r="I302" s="3"/>
      <c r="J302" s="3"/>
      <c r="K302" s="3"/>
      <c r="L302" s="3"/>
      <c r="M302" s="3"/>
      <c r="N302" s="3"/>
      <c r="O302" s="52"/>
      <c r="P302" s="3"/>
      <c r="Q302" s="42"/>
      <c r="R302" s="42"/>
      <c r="S302" s="3"/>
      <c r="T302" s="3">
        <f t="shared" si="119"/>
        <v>0</v>
      </c>
      <c r="U302" s="3">
        <f t="shared" si="120"/>
        <v>0</v>
      </c>
      <c r="V302" s="3">
        <f t="shared" si="121"/>
        <v>0</v>
      </c>
      <c r="W302" s="3"/>
      <c r="X302" s="3">
        <f t="shared" si="122"/>
        <v>0</v>
      </c>
      <c r="Y302" s="10"/>
      <c r="Z302" s="4"/>
      <c r="AA302" s="4"/>
      <c r="AB302" s="5"/>
      <c r="AC302" s="5"/>
      <c r="AD302" s="5"/>
      <c r="AE302" s="5"/>
    </row>
    <row r="303" spans="1:31" ht="15.75" hidden="1" customHeight="1" x14ac:dyDescent="0.25">
      <c r="A303" s="5" t="s">
        <v>261</v>
      </c>
      <c r="B303" s="3">
        <v>7160</v>
      </c>
      <c r="C303" s="3">
        <v>7160</v>
      </c>
      <c r="D303" s="3">
        <v>7160</v>
      </c>
      <c r="E303" s="3">
        <v>7160</v>
      </c>
      <c r="F303" s="3"/>
      <c r="G303" s="3"/>
      <c r="H303" s="3"/>
      <c r="I303" s="3"/>
      <c r="J303" s="3"/>
      <c r="K303" s="3"/>
      <c r="L303" s="3"/>
      <c r="M303" s="3"/>
      <c r="N303" s="3"/>
      <c r="O303" s="52"/>
      <c r="P303" s="3"/>
      <c r="Q303" s="42"/>
      <c r="R303" s="42"/>
      <c r="S303" s="3"/>
      <c r="T303" s="3">
        <f t="shared" si="119"/>
        <v>0</v>
      </c>
      <c r="U303" s="3">
        <f t="shared" si="120"/>
        <v>0</v>
      </c>
      <c r="V303" s="3">
        <f t="shared" si="121"/>
        <v>0</v>
      </c>
      <c r="W303" s="3"/>
      <c r="X303" s="3">
        <f t="shared" si="122"/>
        <v>0</v>
      </c>
      <c r="Y303" s="10"/>
      <c r="Z303" s="4"/>
      <c r="AA303" s="4"/>
      <c r="AB303" s="5"/>
      <c r="AC303" s="5"/>
      <c r="AD303" s="5"/>
      <c r="AE303" s="5"/>
    </row>
    <row r="304" spans="1:31" ht="15.75" hidden="1" customHeight="1" x14ac:dyDescent="0.25">
      <c r="A304" s="5" t="s">
        <v>262</v>
      </c>
      <c r="B304" s="3">
        <v>5000</v>
      </c>
      <c r="C304" s="3">
        <v>5000</v>
      </c>
      <c r="D304" s="3">
        <v>5000</v>
      </c>
      <c r="E304" s="3">
        <v>5000</v>
      </c>
      <c r="F304" s="3">
        <v>5000</v>
      </c>
      <c r="G304" s="3"/>
      <c r="H304" s="3"/>
      <c r="I304" s="3"/>
      <c r="J304" s="3"/>
      <c r="K304" s="3"/>
      <c r="L304" s="3"/>
      <c r="M304" s="3"/>
      <c r="N304" s="3"/>
      <c r="O304" s="52"/>
      <c r="P304" s="3"/>
      <c r="Q304" s="42"/>
      <c r="R304" s="42"/>
      <c r="S304" s="3"/>
      <c r="T304" s="3">
        <f t="shared" si="119"/>
        <v>0</v>
      </c>
      <c r="U304" s="3">
        <f t="shared" si="120"/>
        <v>0</v>
      </c>
      <c r="V304" s="3">
        <f t="shared" si="121"/>
        <v>0</v>
      </c>
      <c r="W304" s="3"/>
      <c r="X304" s="3">
        <f t="shared" si="122"/>
        <v>0</v>
      </c>
      <c r="Y304" s="10"/>
      <c r="Z304" s="4"/>
      <c r="AA304" s="4"/>
      <c r="AB304" s="5"/>
      <c r="AC304" s="5"/>
      <c r="AD304" s="5"/>
      <c r="AE304" s="5"/>
    </row>
    <row r="305" spans="1:31" ht="15.75" hidden="1" customHeight="1" x14ac:dyDescent="0.25">
      <c r="A305" s="5" t="s">
        <v>263</v>
      </c>
      <c r="B305" s="3">
        <v>21000</v>
      </c>
      <c r="C305" s="3">
        <v>21000</v>
      </c>
      <c r="D305" s="3">
        <v>21000</v>
      </c>
      <c r="E305" s="3">
        <v>21000</v>
      </c>
      <c r="F305" s="3">
        <v>21000</v>
      </c>
      <c r="G305" s="3"/>
      <c r="H305" s="3"/>
      <c r="I305" s="3"/>
      <c r="J305" s="3"/>
      <c r="K305" s="3"/>
      <c r="L305" s="3"/>
      <c r="M305" s="3"/>
      <c r="N305" s="3"/>
      <c r="O305" s="52"/>
      <c r="P305" s="3"/>
      <c r="Q305" s="42"/>
      <c r="R305" s="42"/>
      <c r="S305" s="3"/>
      <c r="T305" s="3">
        <f t="shared" si="119"/>
        <v>0</v>
      </c>
      <c r="U305" s="3">
        <f t="shared" si="120"/>
        <v>0</v>
      </c>
      <c r="V305" s="3">
        <f t="shared" si="121"/>
        <v>0</v>
      </c>
      <c r="W305" s="3"/>
      <c r="X305" s="3">
        <f t="shared" si="122"/>
        <v>0</v>
      </c>
      <c r="Y305" s="10"/>
      <c r="Z305" s="4"/>
      <c r="AA305" s="4"/>
      <c r="AB305" s="5"/>
      <c r="AC305" s="5"/>
      <c r="AD305" s="5"/>
      <c r="AE305" s="5"/>
    </row>
    <row r="306" spans="1:31" ht="15.75" hidden="1" customHeight="1" x14ac:dyDescent="0.25">
      <c r="A306" s="5" t="s">
        <v>264</v>
      </c>
      <c r="B306" s="3">
        <v>13850</v>
      </c>
      <c r="C306" s="3">
        <v>13850</v>
      </c>
      <c r="D306" s="3">
        <v>13850</v>
      </c>
      <c r="E306" s="3">
        <v>13850</v>
      </c>
      <c r="F306" s="3">
        <v>13850</v>
      </c>
      <c r="G306" s="3"/>
      <c r="H306" s="3"/>
      <c r="I306" s="3"/>
      <c r="J306" s="3"/>
      <c r="K306" s="3"/>
      <c r="L306" s="3"/>
      <c r="M306" s="3"/>
      <c r="N306" s="3"/>
      <c r="O306" s="52"/>
      <c r="P306" s="3"/>
      <c r="Q306" s="42"/>
      <c r="R306" s="42"/>
      <c r="S306" s="3"/>
      <c r="T306" s="3">
        <f t="shared" si="119"/>
        <v>0</v>
      </c>
      <c r="U306" s="3">
        <f t="shared" si="120"/>
        <v>0</v>
      </c>
      <c r="V306" s="3">
        <f t="shared" si="121"/>
        <v>0</v>
      </c>
      <c r="W306" s="3"/>
      <c r="X306" s="3">
        <f t="shared" si="122"/>
        <v>0</v>
      </c>
      <c r="Y306" s="10"/>
      <c r="Z306" s="4"/>
      <c r="AA306" s="4"/>
      <c r="AB306" s="5"/>
      <c r="AC306" s="5"/>
      <c r="AD306" s="5"/>
      <c r="AE306" s="5"/>
    </row>
    <row r="307" spans="1:31" ht="15.75" hidden="1" customHeight="1" x14ac:dyDescent="0.25">
      <c r="A307" s="5" t="s">
        <v>265</v>
      </c>
      <c r="B307" s="3"/>
      <c r="C307" s="3"/>
      <c r="D307" s="3">
        <v>4000</v>
      </c>
      <c r="E307" s="3">
        <v>4000</v>
      </c>
      <c r="F307" s="3">
        <v>4000</v>
      </c>
      <c r="G307" s="3">
        <v>8000</v>
      </c>
      <c r="H307" s="3"/>
      <c r="I307" s="3"/>
      <c r="J307" s="3"/>
      <c r="K307" s="3"/>
      <c r="L307" s="3"/>
      <c r="M307" s="3"/>
      <c r="N307" s="3"/>
      <c r="O307" s="52"/>
      <c r="P307" s="3"/>
      <c r="Q307" s="42"/>
      <c r="R307" s="42"/>
      <c r="S307" s="3"/>
      <c r="T307" s="3">
        <f t="shared" si="119"/>
        <v>0</v>
      </c>
      <c r="U307" s="3">
        <f t="shared" si="120"/>
        <v>0</v>
      </c>
      <c r="V307" s="3">
        <f t="shared" si="121"/>
        <v>0</v>
      </c>
      <c r="W307" s="3"/>
      <c r="X307" s="3">
        <f t="shared" si="122"/>
        <v>0</v>
      </c>
      <c r="Y307" s="10"/>
      <c r="Z307" s="4"/>
      <c r="AA307" s="4"/>
      <c r="AB307" s="5"/>
      <c r="AC307" s="5"/>
      <c r="AD307" s="5"/>
      <c r="AE307" s="5"/>
    </row>
    <row r="308" spans="1:31" ht="15.75" hidden="1" customHeight="1" x14ac:dyDescent="0.25">
      <c r="A308" s="5" t="s">
        <v>266</v>
      </c>
      <c r="B308" s="3"/>
      <c r="C308" s="3"/>
      <c r="D308" s="3">
        <v>1100</v>
      </c>
      <c r="E308" s="3">
        <v>1100</v>
      </c>
      <c r="F308" s="3">
        <v>1100</v>
      </c>
      <c r="G308" s="3">
        <v>2200</v>
      </c>
      <c r="H308" s="3"/>
      <c r="I308" s="3"/>
      <c r="J308" s="3"/>
      <c r="K308" s="3"/>
      <c r="L308" s="3"/>
      <c r="M308" s="3"/>
      <c r="N308" s="3"/>
      <c r="O308" s="52"/>
      <c r="P308" s="3"/>
      <c r="Q308" s="42"/>
      <c r="R308" s="42"/>
      <c r="S308" s="3"/>
      <c r="T308" s="3">
        <f t="shared" si="119"/>
        <v>0</v>
      </c>
      <c r="U308" s="3">
        <f t="shared" si="120"/>
        <v>0</v>
      </c>
      <c r="V308" s="3">
        <f t="shared" si="121"/>
        <v>0</v>
      </c>
      <c r="W308" s="3"/>
      <c r="X308" s="3">
        <f t="shared" si="122"/>
        <v>0</v>
      </c>
      <c r="Y308" s="10"/>
      <c r="Z308" s="4"/>
      <c r="AA308" s="4"/>
      <c r="AB308" s="5"/>
      <c r="AC308" s="5"/>
      <c r="AD308" s="5"/>
      <c r="AE308" s="5"/>
    </row>
    <row r="309" spans="1:31" ht="15.75" hidden="1" customHeight="1" x14ac:dyDescent="0.25">
      <c r="A309" s="5" t="s">
        <v>267</v>
      </c>
      <c r="B309" s="3"/>
      <c r="C309" s="3"/>
      <c r="D309" s="3"/>
      <c r="E309" s="3"/>
      <c r="F309" s="3">
        <v>5740</v>
      </c>
      <c r="G309" s="3">
        <v>5740</v>
      </c>
      <c r="H309" s="3">
        <v>5740</v>
      </c>
      <c r="I309" s="3">
        <v>5740</v>
      </c>
      <c r="J309" s="3">
        <v>5740</v>
      </c>
      <c r="K309" s="3"/>
      <c r="L309" s="3"/>
      <c r="M309" s="3"/>
      <c r="N309" s="3"/>
      <c r="O309" s="52"/>
      <c r="P309" s="3"/>
      <c r="Q309" s="42"/>
      <c r="R309" s="42"/>
      <c r="S309" s="3"/>
      <c r="T309" s="3">
        <f t="shared" si="119"/>
        <v>0</v>
      </c>
      <c r="U309" s="3">
        <f t="shared" si="120"/>
        <v>0</v>
      </c>
      <c r="V309" s="3">
        <f t="shared" si="121"/>
        <v>0</v>
      </c>
      <c r="W309" s="3"/>
      <c r="X309" s="3">
        <f t="shared" si="122"/>
        <v>0</v>
      </c>
      <c r="Y309" s="10"/>
      <c r="Z309" s="4"/>
      <c r="AA309" s="4"/>
      <c r="AB309" s="5"/>
      <c r="AC309" s="5"/>
      <c r="AD309" s="5"/>
      <c r="AE309" s="5"/>
    </row>
    <row r="310" spans="1:31" ht="15.75" hidden="1" customHeight="1" x14ac:dyDescent="0.25">
      <c r="A310" s="5" t="s">
        <v>268</v>
      </c>
      <c r="B310" s="3"/>
      <c r="C310" s="3"/>
      <c r="D310" s="3"/>
      <c r="E310" s="3">
        <v>1360</v>
      </c>
      <c r="F310" s="3">
        <v>1360</v>
      </c>
      <c r="G310" s="3">
        <v>4080</v>
      </c>
      <c r="H310" s="3"/>
      <c r="I310" s="3"/>
      <c r="J310" s="3"/>
      <c r="K310" s="3"/>
      <c r="L310" s="3"/>
      <c r="M310" s="3"/>
      <c r="N310" s="3"/>
      <c r="O310" s="52"/>
      <c r="P310" s="3"/>
      <c r="Q310" s="42"/>
      <c r="R310" s="42"/>
      <c r="S310" s="3"/>
      <c r="T310" s="3">
        <f t="shared" si="119"/>
        <v>0</v>
      </c>
      <c r="U310" s="3">
        <f t="shared" si="120"/>
        <v>0</v>
      </c>
      <c r="V310" s="3">
        <f t="shared" si="121"/>
        <v>0</v>
      </c>
      <c r="W310" s="3"/>
      <c r="X310" s="3">
        <f t="shared" si="122"/>
        <v>0</v>
      </c>
      <c r="Y310" s="10"/>
      <c r="Z310" s="4"/>
      <c r="AA310" s="4"/>
      <c r="AB310" s="5"/>
      <c r="AC310" s="5"/>
      <c r="AD310" s="5"/>
      <c r="AE310" s="5"/>
    </row>
    <row r="311" spans="1:31" ht="15.75" customHeight="1" x14ac:dyDescent="0.25">
      <c r="A311" s="5" t="s">
        <v>269</v>
      </c>
      <c r="B311" s="3"/>
      <c r="C311" s="3"/>
      <c r="D311" s="3"/>
      <c r="E311" s="3"/>
      <c r="F311" s="3"/>
      <c r="G311" s="3"/>
      <c r="H311" s="3">
        <v>7420</v>
      </c>
      <c r="I311" s="3">
        <v>7420</v>
      </c>
      <c r="J311" s="3">
        <v>7420</v>
      </c>
      <c r="K311" s="3">
        <v>7420</v>
      </c>
      <c r="L311" s="3">
        <v>7210</v>
      </c>
      <c r="M311" s="3"/>
      <c r="N311" s="3"/>
      <c r="O311" s="52"/>
      <c r="P311" s="3"/>
      <c r="Q311" s="42"/>
      <c r="R311" s="42"/>
      <c r="S311" s="3"/>
      <c r="T311" s="3">
        <f t="shared" si="119"/>
        <v>0</v>
      </c>
      <c r="U311" s="3">
        <f t="shared" si="120"/>
        <v>0</v>
      </c>
      <c r="V311" s="3">
        <f t="shared" si="121"/>
        <v>0</v>
      </c>
      <c r="W311" s="3"/>
      <c r="X311" s="3">
        <f t="shared" si="122"/>
        <v>0</v>
      </c>
      <c r="Y311" s="10"/>
      <c r="Z311" s="4"/>
      <c r="AA311" s="4"/>
      <c r="AB311" s="5"/>
      <c r="AC311" s="5"/>
      <c r="AD311" s="5"/>
      <c r="AE311" s="5"/>
    </row>
    <row r="312" spans="1:31" ht="15.75" customHeight="1" x14ac:dyDescent="0.25">
      <c r="A312" s="5" t="s">
        <v>270</v>
      </c>
      <c r="B312" s="3"/>
      <c r="C312" s="3"/>
      <c r="D312" s="3"/>
      <c r="E312" s="3"/>
      <c r="F312" s="3"/>
      <c r="G312" s="3"/>
      <c r="H312" s="3"/>
      <c r="I312" s="3"/>
      <c r="J312" s="3">
        <v>8911</v>
      </c>
      <c r="K312" s="3">
        <v>8911</v>
      </c>
      <c r="L312" s="3">
        <v>8911</v>
      </c>
      <c r="M312" s="3">
        <v>17822</v>
      </c>
      <c r="N312" s="3">
        <v>0</v>
      </c>
      <c r="O312" s="52"/>
      <c r="P312" s="3"/>
      <c r="Q312" s="42"/>
      <c r="R312" s="42"/>
      <c r="S312" s="3"/>
      <c r="T312" s="3">
        <f t="shared" si="119"/>
        <v>0</v>
      </c>
      <c r="U312" s="3">
        <f t="shared" si="120"/>
        <v>0</v>
      </c>
      <c r="V312" s="3">
        <f t="shared" si="121"/>
        <v>0</v>
      </c>
      <c r="W312" s="3"/>
      <c r="X312" s="3">
        <f t="shared" si="122"/>
        <v>0</v>
      </c>
      <c r="Y312" s="10"/>
      <c r="Z312" s="4"/>
      <c r="AA312" s="4"/>
      <c r="AB312" s="5"/>
      <c r="AC312" s="5"/>
      <c r="AD312" s="5"/>
      <c r="AE312" s="5"/>
    </row>
    <row r="313" spans="1:31" ht="15.75" customHeight="1" x14ac:dyDescent="0.25">
      <c r="A313" s="5" t="s">
        <v>271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>
        <v>21200</v>
      </c>
      <c r="M313" s="3">
        <v>84800</v>
      </c>
      <c r="N313" s="3">
        <v>0</v>
      </c>
      <c r="O313" s="52"/>
      <c r="P313" s="3"/>
      <c r="Q313" s="42"/>
      <c r="R313" s="42"/>
      <c r="S313" s="3"/>
      <c r="T313" s="3">
        <f t="shared" si="119"/>
        <v>0</v>
      </c>
      <c r="U313" s="3">
        <f t="shared" si="120"/>
        <v>0</v>
      </c>
      <c r="V313" s="3">
        <f t="shared" si="121"/>
        <v>0</v>
      </c>
      <c r="W313" s="3"/>
      <c r="X313" s="3">
        <f t="shared" si="122"/>
        <v>0</v>
      </c>
      <c r="Y313" s="10"/>
      <c r="Z313" s="4"/>
      <c r="AA313" s="4"/>
      <c r="AB313" s="5"/>
      <c r="AC313" s="5"/>
      <c r="AD313" s="5"/>
      <c r="AE313" s="5"/>
    </row>
    <row r="314" spans="1:31" ht="15.75" customHeight="1" x14ac:dyDescent="0.25">
      <c r="A314" s="5" t="s">
        <v>272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>
        <v>40000</v>
      </c>
      <c r="O314" s="52">
        <v>40000</v>
      </c>
      <c r="P314" s="3">
        <v>130000</v>
      </c>
      <c r="Q314" s="42">
        <v>130000</v>
      </c>
      <c r="R314" s="42">
        <v>0</v>
      </c>
      <c r="S314" s="3">
        <v>130000</v>
      </c>
      <c r="T314" s="3">
        <f t="shared" si="119"/>
        <v>130000</v>
      </c>
      <c r="U314" s="3">
        <f>+T314-P314</f>
        <v>0</v>
      </c>
      <c r="V314" s="3">
        <f t="shared" si="121"/>
        <v>0</v>
      </c>
      <c r="W314" s="3">
        <v>130000</v>
      </c>
      <c r="X314" s="3">
        <f t="shared" si="122"/>
        <v>0</v>
      </c>
      <c r="Y314" s="10">
        <f>+X314/P314</f>
        <v>0</v>
      </c>
      <c r="Z314" s="57"/>
      <c r="AA314" s="4"/>
      <c r="AB314" s="5"/>
      <c r="AC314" s="5"/>
      <c r="AD314" s="5"/>
      <c r="AE314" s="5"/>
    </row>
    <row r="315" spans="1:31" ht="15.75" customHeight="1" x14ac:dyDescent="0.25">
      <c r="A315" s="5" t="s">
        <v>273</v>
      </c>
      <c r="B315" s="3">
        <v>584.82000000000005</v>
      </c>
      <c r="C315" s="3">
        <v>284</v>
      </c>
      <c r="D315" s="3"/>
      <c r="E315" s="3"/>
      <c r="F315" s="3"/>
      <c r="G315" s="3"/>
      <c r="H315" s="3"/>
      <c r="I315" s="3"/>
      <c r="J315" s="3">
        <v>610.09</v>
      </c>
      <c r="K315" s="3">
        <v>459.45</v>
      </c>
      <c r="L315" s="3">
        <v>344.59</v>
      </c>
      <c r="M315" s="3">
        <v>278.68</v>
      </c>
      <c r="N315" s="3">
        <v>0</v>
      </c>
      <c r="O315" s="52"/>
      <c r="P315" s="3"/>
      <c r="Q315" s="42"/>
      <c r="R315" s="42"/>
      <c r="S315" s="3"/>
      <c r="T315" s="3">
        <f t="shared" si="119"/>
        <v>0</v>
      </c>
      <c r="U315" s="3">
        <f t="shared" ref="U315:U331" si="123">+T315-P315</f>
        <v>0</v>
      </c>
      <c r="V315" s="3">
        <f t="shared" ref="V315:V331" si="124">+T315-Q315</f>
        <v>0</v>
      </c>
      <c r="W315" s="3"/>
      <c r="X315" s="3">
        <f t="shared" si="122"/>
        <v>0</v>
      </c>
      <c r="Y315" s="10"/>
      <c r="Z315" s="4"/>
      <c r="AA315" s="4"/>
      <c r="AB315" s="5"/>
      <c r="AC315" s="5"/>
      <c r="AD315" s="5"/>
      <c r="AE315" s="5"/>
    </row>
    <row r="316" spans="1:31" ht="15.75" hidden="1" customHeight="1" x14ac:dyDescent="0.25">
      <c r="A316" s="5" t="s">
        <v>274</v>
      </c>
      <c r="B316" s="3">
        <v>311.89999999999998</v>
      </c>
      <c r="C316" s="3">
        <v>152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52"/>
      <c r="P316" s="3"/>
      <c r="Q316" s="42"/>
      <c r="R316" s="42"/>
      <c r="S316" s="3"/>
      <c r="T316" s="3">
        <f t="shared" si="119"/>
        <v>0</v>
      </c>
      <c r="U316" s="3">
        <f t="shared" si="123"/>
        <v>0</v>
      </c>
      <c r="V316" s="3">
        <f t="shared" si="124"/>
        <v>0</v>
      </c>
      <c r="W316" s="3"/>
      <c r="X316" s="3">
        <f t="shared" si="122"/>
        <v>0</v>
      </c>
      <c r="Y316" s="10"/>
      <c r="Z316" s="4"/>
      <c r="AA316" s="4"/>
      <c r="AB316" s="5"/>
      <c r="AC316" s="5"/>
      <c r="AD316" s="5"/>
      <c r="AE316" s="5"/>
    </row>
    <row r="317" spans="1:31" ht="15.75" hidden="1" customHeight="1" x14ac:dyDescent="0.25">
      <c r="A317" s="5" t="s">
        <v>275</v>
      </c>
      <c r="B317" s="3"/>
      <c r="C317" s="3">
        <v>479</v>
      </c>
      <c r="D317" s="3">
        <v>380.8</v>
      </c>
      <c r="E317" s="3">
        <v>346.8</v>
      </c>
      <c r="F317" s="3">
        <v>220</v>
      </c>
      <c r="G317" s="3">
        <v>122</v>
      </c>
      <c r="H317" s="3"/>
      <c r="I317" s="3"/>
      <c r="J317" s="3"/>
      <c r="K317" s="3"/>
      <c r="L317" s="3"/>
      <c r="M317" s="3"/>
      <c r="N317" s="3"/>
      <c r="O317" s="52"/>
      <c r="P317" s="3"/>
      <c r="Q317" s="42"/>
      <c r="R317" s="42"/>
      <c r="S317" s="3"/>
      <c r="T317" s="3">
        <f t="shared" si="119"/>
        <v>0</v>
      </c>
      <c r="U317" s="3">
        <f t="shared" si="123"/>
        <v>0</v>
      </c>
      <c r="V317" s="3">
        <f t="shared" si="124"/>
        <v>0</v>
      </c>
      <c r="W317" s="3"/>
      <c r="X317" s="3">
        <f t="shared" si="122"/>
        <v>0</v>
      </c>
      <c r="Y317" s="10"/>
      <c r="Z317" s="4"/>
      <c r="AA317" s="4"/>
      <c r="AB317" s="5"/>
      <c r="AC317" s="5"/>
      <c r="AD317" s="5"/>
      <c r="AE317" s="5"/>
    </row>
    <row r="318" spans="1:31" ht="15.75" hidden="1" customHeight="1" x14ac:dyDescent="0.25">
      <c r="A318" s="5" t="s">
        <v>276</v>
      </c>
      <c r="B318" s="3"/>
      <c r="C318" s="3"/>
      <c r="D318" s="3"/>
      <c r="E318" s="3">
        <v>687.11</v>
      </c>
      <c r="F318" s="3">
        <v>727.71</v>
      </c>
      <c r="G318" s="3">
        <v>542.33000000000004</v>
      </c>
      <c r="H318" s="3">
        <v>358.14</v>
      </c>
      <c r="I318" s="3">
        <v>157.80000000000001</v>
      </c>
      <c r="J318" s="3"/>
      <c r="K318" s="3"/>
      <c r="L318" s="3"/>
      <c r="M318" s="3"/>
      <c r="N318" s="3"/>
      <c r="O318" s="52"/>
      <c r="P318" s="3"/>
      <c r="Q318" s="42"/>
      <c r="R318" s="42"/>
      <c r="S318" s="3"/>
      <c r="T318" s="3">
        <f t="shared" si="119"/>
        <v>0</v>
      </c>
      <c r="U318" s="3">
        <f t="shared" si="123"/>
        <v>0</v>
      </c>
      <c r="V318" s="3">
        <f t="shared" si="124"/>
        <v>0</v>
      </c>
      <c r="W318" s="3"/>
      <c r="X318" s="3">
        <f t="shared" si="122"/>
        <v>0</v>
      </c>
      <c r="Y318" s="10"/>
      <c r="Z318" s="4"/>
      <c r="AA318" s="4"/>
      <c r="AB318" s="5"/>
      <c r="AC318" s="5"/>
      <c r="AD318" s="5"/>
      <c r="AE318" s="5"/>
    </row>
    <row r="319" spans="1:31" ht="15.75" hidden="1" customHeight="1" x14ac:dyDescent="0.25">
      <c r="A319" s="5" t="s">
        <v>277</v>
      </c>
      <c r="B319" s="3"/>
      <c r="C319" s="3"/>
      <c r="D319" s="3"/>
      <c r="E319" s="3">
        <v>427.39</v>
      </c>
      <c r="F319" s="3">
        <v>454.33</v>
      </c>
      <c r="G319" s="3">
        <v>340.71</v>
      </c>
      <c r="H319" s="3"/>
      <c r="I319" s="3"/>
      <c r="J319" s="3"/>
      <c r="K319" s="3"/>
      <c r="L319" s="3"/>
      <c r="M319" s="3"/>
      <c r="N319" s="3"/>
      <c r="O319" s="52"/>
      <c r="P319" s="3"/>
      <c r="Q319" s="42"/>
      <c r="R319" s="42"/>
      <c r="S319" s="3"/>
      <c r="T319" s="3">
        <f t="shared" si="119"/>
        <v>0</v>
      </c>
      <c r="U319" s="3">
        <f t="shared" si="123"/>
        <v>0</v>
      </c>
      <c r="V319" s="3">
        <f t="shared" si="124"/>
        <v>0</v>
      </c>
      <c r="W319" s="3"/>
      <c r="X319" s="3">
        <f t="shared" si="122"/>
        <v>0</v>
      </c>
      <c r="Y319" s="10"/>
      <c r="Z319" s="4"/>
      <c r="AA319" s="4"/>
      <c r="AB319" s="5"/>
      <c r="AC319" s="5"/>
      <c r="AD319" s="5"/>
      <c r="AE319" s="5"/>
    </row>
    <row r="320" spans="1:31" ht="15.75" hidden="1" customHeight="1" x14ac:dyDescent="0.25">
      <c r="A320" s="5" t="s">
        <v>278</v>
      </c>
      <c r="B320" s="3">
        <v>696.94</v>
      </c>
      <c r="C320" s="3">
        <v>509</v>
      </c>
      <c r="D320" s="3">
        <v>340.82</v>
      </c>
      <c r="E320" s="3">
        <v>206.92</v>
      </c>
      <c r="F320" s="3"/>
      <c r="G320" s="3"/>
      <c r="H320" s="3"/>
      <c r="I320" s="3"/>
      <c r="J320" s="3"/>
      <c r="K320" s="3"/>
      <c r="L320" s="3"/>
      <c r="M320" s="3"/>
      <c r="N320" s="3"/>
      <c r="O320" s="52"/>
      <c r="P320" s="3"/>
      <c r="Q320" s="42"/>
      <c r="R320" s="42"/>
      <c r="S320" s="3"/>
      <c r="T320" s="3">
        <f t="shared" si="119"/>
        <v>0</v>
      </c>
      <c r="U320" s="3">
        <f t="shared" si="123"/>
        <v>0</v>
      </c>
      <c r="V320" s="3">
        <f t="shared" si="124"/>
        <v>0</v>
      </c>
      <c r="W320" s="3"/>
      <c r="X320" s="3">
        <f t="shared" si="122"/>
        <v>0</v>
      </c>
      <c r="Y320" s="10"/>
      <c r="Z320" s="4"/>
      <c r="AA320" s="4"/>
      <c r="AB320" s="5"/>
      <c r="AC320" s="5"/>
      <c r="AD320" s="5"/>
      <c r="AE320" s="5"/>
    </row>
    <row r="321" spans="1:31" ht="15.75" hidden="1" customHeight="1" x14ac:dyDescent="0.25">
      <c r="A321" s="5" t="s">
        <v>279</v>
      </c>
      <c r="B321" s="3">
        <v>676.24</v>
      </c>
      <c r="C321" s="3">
        <v>483</v>
      </c>
      <c r="D321" s="3">
        <v>357</v>
      </c>
      <c r="E321" s="3">
        <v>289</v>
      </c>
      <c r="F321" s="3">
        <v>142.5</v>
      </c>
      <c r="G321" s="3"/>
      <c r="H321" s="3"/>
      <c r="I321" s="3"/>
      <c r="J321" s="3"/>
      <c r="K321" s="3"/>
      <c r="L321" s="3"/>
      <c r="M321" s="3"/>
      <c r="N321" s="3"/>
      <c r="O321" s="52"/>
      <c r="P321" s="3"/>
      <c r="Q321" s="42"/>
      <c r="R321" s="42"/>
      <c r="S321" s="3"/>
      <c r="T321" s="3">
        <f t="shared" si="119"/>
        <v>0</v>
      </c>
      <c r="U321" s="3">
        <f t="shared" si="123"/>
        <v>0</v>
      </c>
      <c r="V321" s="3">
        <f t="shared" si="124"/>
        <v>0</v>
      </c>
      <c r="W321" s="3"/>
      <c r="X321" s="3">
        <f t="shared" si="122"/>
        <v>0</v>
      </c>
      <c r="Y321" s="10"/>
      <c r="Z321" s="4"/>
      <c r="AA321" s="4"/>
      <c r="AB321" s="5"/>
      <c r="AC321" s="5"/>
      <c r="AD321" s="5"/>
      <c r="AE321" s="5"/>
    </row>
    <row r="322" spans="1:31" ht="15.75" hidden="1" customHeight="1" x14ac:dyDescent="0.25">
      <c r="A322" s="5" t="s">
        <v>280</v>
      </c>
      <c r="B322" s="3">
        <v>2840.19</v>
      </c>
      <c r="C322" s="3">
        <v>2030</v>
      </c>
      <c r="D322" s="3">
        <v>1499.4</v>
      </c>
      <c r="E322" s="3">
        <v>1213.8</v>
      </c>
      <c r="F322" s="3">
        <v>598.5</v>
      </c>
      <c r="G322" s="3"/>
      <c r="H322" s="3"/>
      <c r="I322" s="3"/>
      <c r="J322" s="3"/>
      <c r="K322" s="3"/>
      <c r="L322" s="3"/>
      <c r="M322" s="3"/>
      <c r="N322" s="3"/>
      <c r="O322" s="52"/>
      <c r="P322" s="3"/>
      <c r="Q322" s="42"/>
      <c r="R322" s="42"/>
      <c r="S322" s="3"/>
      <c r="T322" s="3">
        <f t="shared" si="119"/>
        <v>0</v>
      </c>
      <c r="U322" s="3">
        <f t="shared" si="123"/>
        <v>0</v>
      </c>
      <c r="V322" s="3">
        <f t="shared" si="124"/>
        <v>0</v>
      </c>
      <c r="W322" s="3"/>
      <c r="X322" s="3">
        <f t="shared" si="122"/>
        <v>0</v>
      </c>
      <c r="Y322" s="10"/>
      <c r="Z322" s="4"/>
      <c r="AA322" s="4"/>
      <c r="AB322" s="5"/>
      <c r="AC322" s="5"/>
      <c r="AD322" s="5"/>
      <c r="AE322" s="5"/>
    </row>
    <row r="323" spans="1:31" ht="15.75" hidden="1" customHeight="1" x14ac:dyDescent="0.25">
      <c r="A323" s="5" t="s">
        <v>281</v>
      </c>
      <c r="B323" s="3">
        <v>1873.17</v>
      </c>
      <c r="C323" s="3">
        <v>1339</v>
      </c>
      <c r="D323" s="3">
        <v>988.89</v>
      </c>
      <c r="E323" s="3">
        <v>800.53</v>
      </c>
      <c r="F323" s="3">
        <v>394.72</v>
      </c>
      <c r="G323" s="3"/>
      <c r="H323" s="3"/>
      <c r="I323" s="3"/>
      <c r="J323" s="3"/>
      <c r="K323" s="3"/>
      <c r="L323" s="3"/>
      <c r="M323" s="3"/>
      <c r="N323" s="3"/>
      <c r="O323" s="52"/>
      <c r="P323" s="3"/>
      <c r="Q323" s="42"/>
      <c r="R323" s="42"/>
      <c r="S323" s="3"/>
      <c r="T323" s="3">
        <f t="shared" si="119"/>
        <v>0</v>
      </c>
      <c r="U323" s="3">
        <f t="shared" si="123"/>
        <v>0</v>
      </c>
      <c r="V323" s="3">
        <f t="shared" si="124"/>
        <v>0</v>
      </c>
      <c r="W323" s="3"/>
      <c r="X323" s="3">
        <f t="shared" si="122"/>
        <v>0</v>
      </c>
      <c r="Y323" s="10"/>
      <c r="Z323" s="4"/>
      <c r="AA323" s="4"/>
      <c r="AB323" s="5"/>
      <c r="AC323" s="5"/>
      <c r="AD323" s="5"/>
      <c r="AE323" s="5"/>
    </row>
    <row r="324" spans="1:31" ht="15.75" hidden="1" customHeight="1" x14ac:dyDescent="0.25">
      <c r="A324" s="5" t="s">
        <v>282</v>
      </c>
      <c r="B324" s="3"/>
      <c r="C324" s="3"/>
      <c r="D324" s="3">
        <v>476</v>
      </c>
      <c r="E324" s="3">
        <v>462.4</v>
      </c>
      <c r="F324" s="3">
        <v>342</v>
      </c>
      <c r="G324" s="3">
        <v>248</v>
      </c>
      <c r="H324" s="3"/>
      <c r="I324" s="3"/>
      <c r="J324" s="3"/>
      <c r="K324" s="3"/>
      <c r="L324" s="3"/>
      <c r="M324" s="3"/>
      <c r="N324" s="3"/>
      <c r="O324" s="52"/>
      <c r="P324" s="3"/>
      <c r="Q324" s="42"/>
      <c r="R324" s="42"/>
      <c r="S324" s="3"/>
      <c r="T324" s="3">
        <f t="shared" si="119"/>
        <v>0</v>
      </c>
      <c r="U324" s="3">
        <f t="shared" si="123"/>
        <v>0</v>
      </c>
      <c r="V324" s="3">
        <f t="shared" si="124"/>
        <v>0</v>
      </c>
      <c r="W324" s="3"/>
      <c r="X324" s="3">
        <f t="shared" si="122"/>
        <v>0</v>
      </c>
      <c r="Y324" s="10"/>
      <c r="Z324" s="4"/>
      <c r="AA324" s="4"/>
      <c r="AB324" s="5"/>
      <c r="AC324" s="5"/>
      <c r="AD324" s="5"/>
      <c r="AE324" s="5"/>
    </row>
    <row r="325" spans="1:31" ht="15.75" hidden="1" customHeight="1" x14ac:dyDescent="0.25">
      <c r="A325" s="5" t="s">
        <v>283</v>
      </c>
      <c r="B325" s="3"/>
      <c r="C325" s="3"/>
      <c r="D325" s="3">
        <v>130.9</v>
      </c>
      <c r="E325" s="3">
        <v>121.16</v>
      </c>
      <c r="F325" s="3">
        <v>94.05</v>
      </c>
      <c r="G325" s="3">
        <v>68.2</v>
      </c>
      <c r="H325" s="3"/>
      <c r="I325" s="3"/>
      <c r="J325" s="3"/>
      <c r="K325" s="3"/>
      <c r="L325" s="3"/>
      <c r="M325" s="3"/>
      <c r="N325" s="3"/>
      <c r="O325" s="52"/>
      <c r="P325" s="3"/>
      <c r="Q325" s="42"/>
      <c r="R325" s="42"/>
      <c r="S325" s="3"/>
      <c r="T325" s="3">
        <f t="shared" si="119"/>
        <v>0</v>
      </c>
      <c r="U325" s="3">
        <f t="shared" si="123"/>
        <v>0</v>
      </c>
      <c r="V325" s="3">
        <f t="shared" si="124"/>
        <v>0</v>
      </c>
      <c r="W325" s="3"/>
      <c r="X325" s="3">
        <f t="shared" si="122"/>
        <v>0</v>
      </c>
      <c r="Y325" s="10"/>
      <c r="Z325" s="4"/>
      <c r="AA325" s="4"/>
      <c r="AB325" s="5"/>
      <c r="AC325" s="5"/>
      <c r="AD325" s="5"/>
      <c r="AE325" s="5"/>
    </row>
    <row r="326" spans="1:31" ht="15.75" hidden="1" customHeight="1" x14ac:dyDescent="0.25">
      <c r="A326" s="5" t="s">
        <v>284</v>
      </c>
      <c r="B326" s="3"/>
      <c r="C326" s="3"/>
      <c r="D326" s="3"/>
      <c r="E326" s="3"/>
      <c r="F326" s="3">
        <v>789.25</v>
      </c>
      <c r="G326" s="3">
        <v>700.28</v>
      </c>
      <c r="H326" s="3">
        <v>514.88</v>
      </c>
      <c r="I326" s="3">
        <v>360.47</v>
      </c>
      <c r="J326" s="3">
        <v>169.33</v>
      </c>
      <c r="K326" s="3"/>
      <c r="L326" s="3"/>
      <c r="M326" s="3"/>
      <c r="N326" s="3"/>
      <c r="O326" s="52"/>
      <c r="P326" s="3"/>
      <c r="Q326" s="42"/>
      <c r="R326" s="42"/>
      <c r="S326" s="3"/>
      <c r="T326" s="3">
        <f t="shared" si="119"/>
        <v>0</v>
      </c>
      <c r="U326" s="3">
        <f t="shared" si="123"/>
        <v>0</v>
      </c>
      <c r="V326" s="3">
        <f t="shared" si="124"/>
        <v>0</v>
      </c>
      <c r="W326" s="3"/>
      <c r="X326" s="3">
        <f t="shared" si="122"/>
        <v>0</v>
      </c>
      <c r="Y326" s="10"/>
      <c r="Z326" s="4"/>
      <c r="AA326" s="4"/>
      <c r="AB326" s="5"/>
      <c r="AC326" s="5"/>
      <c r="AD326" s="5"/>
      <c r="AE326" s="5"/>
    </row>
    <row r="327" spans="1:31" ht="15.75" hidden="1" customHeight="1" x14ac:dyDescent="0.25">
      <c r="A327" s="5" t="s">
        <v>285</v>
      </c>
      <c r="B327" s="3"/>
      <c r="C327" s="3"/>
      <c r="D327" s="3"/>
      <c r="E327" s="3">
        <v>196.52</v>
      </c>
      <c r="F327" s="3">
        <v>155.04</v>
      </c>
      <c r="G327" s="3">
        <v>124.44</v>
      </c>
      <c r="H327" s="3"/>
      <c r="I327" s="3"/>
      <c r="J327" s="3"/>
      <c r="K327" s="3"/>
      <c r="L327" s="3"/>
      <c r="M327" s="3"/>
      <c r="N327" s="3"/>
      <c r="O327" s="52"/>
      <c r="P327" s="3"/>
      <c r="Q327" s="42"/>
      <c r="R327" s="42"/>
      <c r="S327" s="3"/>
      <c r="T327" s="3">
        <f t="shared" si="119"/>
        <v>0</v>
      </c>
      <c r="U327" s="3">
        <f t="shared" si="123"/>
        <v>0</v>
      </c>
      <c r="V327" s="3">
        <f t="shared" si="124"/>
        <v>0</v>
      </c>
      <c r="W327" s="3"/>
      <c r="X327" s="3">
        <f t="shared" si="122"/>
        <v>0</v>
      </c>
      <c r="Y327" s="10"/>
      <c r="Z327" s="4"/>
      <c r="AA327" s="4"/>
      <c r="AB327" s="5"/>
      <c r="AC327" s="5"/>
      <c r="AD327" s="5"/>
      <c r="AE327" s="5"/>
    </row>
    <row r="328" spans="1:31" ht="15.75" customHeight="1" x14ac:dyDescent="0.25">
      <c r="A328" s="5" t="s">
        <v>286</v>
      </c>
      <c r="B328" s="3"/>
      <c r="C328" s="3"/>
      <c r="D328" s="3"/>
      <c r="E328" s="3"/>
      <c r="F328" s="3"/>
      <c r="G328" s="3"/>
      <c r="H328" s="3">
        <v>1106.7</v>
      </c>
      <c r="I328" s="3">
        <v>810.43</v>
      </c>
      <c r="J328" s="3">
        <v>711</v>
      </c>
      <c r="K328" s="3">
        <v>532.53</v>
      </c>
      <c r="L328" s="3">
        <v>219.9</v>
      </c>
      <c r="M328" s="3"/>
      <c r="N328" s="3"/>
      <c r="O328" s="52"/>
      <c r="P328" s="3"/>
      <c r="Q328" s="42"/>
      <c r="R328" s="42"/>
      <c r="S328" s="3"/>
      <c r="T328" s="3">
        <f t="shared" si="119"/>
        <v>0</v>
      </c>
      <c r="U328" s="3">
        <f t="shared" si="123"/>
        <v>0</v>
      </c>
      <c r="V328" s="3">
        <f t="shared" si="124"/>
        <v>0</v>
      </c>
      <c r="W328" s="3"/>
      <c r="X328" s="3">
        <f t="shared" si="122"/>
        <v>0</v>
      </c>
      <c r="Y328" s="10"/>
      <c r="Z328" s="4"/>
      <c r="AA328" s="4"/>
      <c r="AB328" s="5"/>
      <c r="AC328" s="5"/>
      <c r="AD328" s="5"/>
      <c r="AE328" s="5"/>
    </row>
    <row r="329" spans="1:31" ht="15.75" customHeight="1" x14ac:dyDescent="0.25">
      <c r="A329" s="5" t="s">
        <v>287</v>
      </c>
      <c r="B329" s="3"/>
      <c r="C329" s="3"/>
      <c r="D329" s="3"/>
      <c r="E329" s="3"/>
      <c r="F329" s="3"/>
      <c r="G329" s="3"/>
      <c r="H329" s="3"/>
      <c r="I329" s="3"/>
      <c r="J329" s="3">
        <v>1443.58</v>
      </c>
      <c r="K329" s="3">
        <v>1087.1400000000001</v>
      </c>
      <c r="L329" s="3">
        <v>815.36</v>
      </c>
      <c r="M329" s="3">
        <v>622.78</v>
      </c>
      <c r="N329" s="3">
        <v>0</v>
      </c>
      <c r="O329" s="52"/>
      <c r="P329" s="3"/>
      <c r="Q329" s="42"/>
      <c r="R329" s="42"/>
      <c r="S329" s="3"/>
      <c r="T329" s="3">
        <f t="shared" si="119"/>
        <v>0</v>
      </c>
      <c r="U329" s="3">
        <f t="shared" si="123"/>
        <v>0</v>
      </c>
      <c r="V329" s="3">
        <f t="shared" si="124"/>
        <v>0</v>
      </c>
      <c r="W329" s="3"/>
      <c r="X329" s="3">
        <f t="shared" si="122"/>
        <v>0</v>
      </c>
      <c r="Y329" s="10"/>
      <c r="Z329" s="4"/>
      <c r="AA329" s="4"/>
      <c r="AB329" s="5"/>
      <c r="AC329" s="5"/>
      <c r="AD329" s="5"/>
      <c r="AE329" s="5"/>
    </row>
    <row r="330" spans="1:31" ht="15.75" customHeight="1" x14ac:dyDescent="0.25">
      <c r="A330" s="5" t="s">
        <v>288</v>
      </c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>
        <v>3487.4</v>
      </c>
      <c r="M330" s="3">
        <v>2645.76</v>
      </c>
      <c r="N330" s="3"/>
      <c r="O330" s="52"/>
      <c r="P330" s="3"/>
      <c r="Q330" s="42"/>
      <c r="R330" s="42"/>
      <c r="S330" s="3"/>
      <c r="T330" s="3">
        <f t="shared" si="119"/>
        <v>0</v>
      </c>
      <c r="U330" s="3">
        <f t="shared" si="123"/>
        <v>0</v>
      </c>
      <c r="V330" s="3">
        <f t="shared" si="124"/>
        <v>0</v>
      </c>
      <c r="W330" s="3"/>
      <c r="X330" s="3">
        <f t="shared" si="122"/>
        <v>0</v>
      </c>
      <c r="Y330" s="10"/>
      <c r="Z330" s="4"/>
      <c r="AA330" s="4"/>
      <c r="AB330" s="5"/>
      <c r="AC330" s="5"/>
      <c r="AD330" s="5"/>
      <c r="AE330" s="5"/>
    </row>
    <row r="331" spans="1:31" ht="15.75" customHeight="1" x14ac:dyDescent="0.25">
      <c r="A331" s="5" t="s">
        <v>289</v>
      </c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>
        <v>8180</v>
      </c>
      <c r="O331" s="52">
        <v>14867.21</v>
      </c>
      <c r="P331" s="3">
        <v>18560</v>
      </c>
      <c r="Q331" s="42">
        <v>18560</v>
      </c>
      <c r="R331" s="42">
        <v>0</v>
      </c>
      <c r="S331" s="3">
        <v>18560</v>
      </c>
      <c r="T331" s="3">
        <f t="shared" si="119"/>
        <v>18560</v>
      </c>
      <c r="U331" s="3">
        <f t="shared" si="123"/>
        <v>0</v>
      </c>
      <c r="V331" s="3">
        <f t="shared" si="124"/>
        <v>0</v>
      </c>
      <c r="W331" s="3">
        <f>11991+6075</f>
        <v>18066</v>
      </c>
      <c r="X331" s="3">
        <f t="shared" si="122"/>
        <v>-494</v>
      </c>
      <c r="Y331" s="10">
        <f>+X331/P331</f>
        <v>-2.6616379310344829E-2</v>
      </c>
      <c r="Z331" s="57"/>
      <c r="AA331" s="4"/>
      <c r="AB331" s="5"/>
      <c r="AC331" s="5"/>
      <c r="AD331" s="5"/>
      <c r="AE331" s="5"/>
    </row>
    <row r="332" spans="1:31" ht="15.75" customHeight="1" x14ac:dyDescent="0.25">
      <c r="A332" s="1" t="s">
        <v>42</v>
      </c>
      <c r="B332" s="11">
        <f t="shared" ref="B332:X332" si="125">SUM(B296:B331)</f>
        <v>72393.260000000009</v>
      </c>
      <c r="C332" s="11">
        <f t="shared" si="125"/>
        <v>74686</v>
      </c>
      <c r="D332" s="11">
        <f t="shared" si="125"/>
        <v>60283.810000000005</v>
      </c>
      <c r="E332" s="11">
        <f t="shared" si="125"/>
        <v>72221.63</v>
      </c>
      <c r="F332" s="11">
        <f t="shared" si="125"/>
        <v>69968.100000000006</v>
      </c>
      <c r="G332" s="11">
        <f t="shared" si="125"/>
        <v>43760.959999999999</v>
      </c>
      <c r="H332" s="11">
        <f t="shared" si="125"/>
        <v>21339.72</v>
      </c>
      <c r="I332" s="11">
        <f t="shared" si="125"/>
        <v>20226.7</v>
      </c>
      <c r="J332" s="11">
        <f t="shared" si="125"/>
        <v>28771</v>
      </c>
      <c r="K332" s="11">
        <f t="shared" si="125"/>
        <v>22176.12</v>
      </c>
      <c r="L332" s="11">
        <f t="shared" si="125"/>
        <v>45954.25</v>
      </c>
      <c r="M332" s="11">
        <f t="shared" si="125"/>
        <v>113701.21999999999</v>
      </c>
      <c r="N332" s="11">
        <f t="shared" si="125"/>
        <v>48180</v>
      </c>
      <c r="O332" s="53">
        <f t="shared" si="125"/>
        <v>54867.21</v>
      </c>
      <c r="P332" s="11">
        <f t="shared" si="125"/>
        <v>148560</v>
      </c>
      <c r="Q332" s="43">
        <f t="shared" si="125"/>
        <v>148560</v>
      </c>
      <c r="R332" s="43">
        <f t="shared" si="125"/>
        <v>0</v>
      </c>
      <c r="S332" s="11">
        <f t="shared" si="125"/>
        <v>148560</v>
      </c>
      <c r="T332" s="11">
        <f t="shared" si="125"/>
        <v>148560</v>
      </c>
      <c r="U332" s="11">
        <f t="shared" si="125"/>
        <v>0</v>
      </c>
      <c r="V332" s="11">
        <f t="shared" si="125"/>
        <v>0</v>
      </c>
      <c r="W332" s="11">
        <f t="shared" si="125"/>
        <v>148066</v>
      </c>
      <c r="X332" s="11">
        <f t="shared" si="125"/>
        <v>-494</v>
      </c>
      <c r="Y332" s="15">
        <f>+X332/P332</f>
        <v>-3.3252557889068388E-3</v>
      </c>
      <c r="Z332" s="4"/>
      <c r="AA332" s="4"/>
      <c r="AB332" s="5"/>
      <c r="AC332" s="5"/>
      <c r="AD332" s="5"/>
      <c r="AE332" s="5"/>
    </row>
    <row r="333" spans="1:31" ht="15.75" customHeight="1" x14ac:dyDescent="0.25">
      <c r="A333" s="1" t="s">
        <v>290</v>
      </c>
      <c r="B333" s="13">
        <f t="shared" ref="B333:X333" si="126">+B332</f>
        <v>72393.260000000009</v>
      </c>
      <c r="C333" s="13">
        <f t="shared" si="126"/>
        <v>74686</v>
      </c>
      <c r="D333" s="13">
        <f t="shared" si="126"/>
        <v>60283.810000000005</v>
      </c>
      <c r="E333" s="13">
        <f t="shared" si="126"/>
        <v>72221.63</v>
      </c>
      <c r="F333" s="13">
        <f t="shared" si="126"/>
        <v>69968.100000000006</v>
      </c>
      <c r="G333" s="13">
        <f t="shared" si="126"/>
        <v>43760.959999999999</v>
      </c>
      <c r="H333" s="13">
        <f t="shared" si="126"/>
        <v>21339.72</v>
      </c>
      <c r="I333" s="13">
        <f t="shared" si="126"/>
        <v>20226.7</v>
      </c>
      <c r="J333" s="13">
        <f t="shared" si="126"/>
        <v>28771</v>
      </c>
      <c r="K333" s="13">
        <f t="shared" si="126"/>
        <v>22176.12</v>
      </c>
      <c r="L333" s="13">
        <f t="shared" si="126"/>
        <v>45954.25</v>
      </c>
      <c r="M333" s="13">
        <f t="shared" si="126"/>
        <v>113701.21999999999</v>
      </c>
      <c r="N333" s="13">
        <f t="shared" si="126"/>
        <v>48180</v>
      </c>
      <c r="O333" s="54">
        <f t="shared" si="126"/>
        <v>54867.21</v>
      </c>
      <c r="P333" s="13">
        <f t="shared" si="126"/>
        <v>148560</v>
      </c>
      <c r="Q333" s="44">
        <f>+Q332</f>
        <v>148560</v>
      </c>
      <c r="R333" s="44">
        <f t="shared" si="126"/>
        <v>0</v>
      </c>
      <c r="S333" s="13">
        <f t="shared" si="126"/>
        <v>148560</v>
      </c>
      <c r="T333" s="13">
        <f t="shared" si="126"/>
        <v>148560</v>
      </c>
      <c r="U333" s="13">
        <f t="shared" si="126"/>
        <v>0</v>
      </c>
      <c r="V333" s="13">
        <f t="shared" si="126"/>
        <v>0</v>
      </c>
      <c r="W333" s="13">
        <f t="shared" si="126"/>
        <v>148066</v>
      </c>
      <c r="X333" s="13">
        <f t="shared" si="126"/>
        <v>-494</v>
      </c>
      <c r="Y333" s="16">
        <f>+X333/P333</f>
        <v>-3.3252557889068388E-3</v>
      </c>
      <c r="Z333" s="4"/>
      <c r="AA333" s="4"/>
      <c r="AB333" s="5"/>
      <c r="AC333" s="5"/>
      <c r="AD333" s="5"/>
      <c r="AE333" s="5"/>
    </row>
    <row r="334" spans="1:31" ht="15.75" customHeight="1" x14ac:dyDescent="0.25">
      <c r="A334" s="1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54"/>
      <c r="P334" s="13"/>
      <c r="Q334" s="44"/>
      <c r="R334" s="44"/>
      <c r="S334" s="13"/>
      <c r="T334" s="3"/>
      <c r="U334" s="3"/>
      <c r="V334" s="3"/>
      <c r="W334" s="13"/>
      <c r="X334" s="3"/>
      <c r="Y334" s="10"/>
      <c r="Z334" s="4"/>
      <c r="AA334" s="4"/>
      <c r="AB334" s="5"/>
      <c r="AC334" s="5"/>
      <c r="AD334" s="5"/>
      <c r="AE334" s="5"/>
    </row>
    <row r="335" spans="1:31" ht="15.75" customHeight="1" x14ac:dyDescent="0.25">
      <c r="A335" s="9" t="s">
        <v>291</v>
      </c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52"/>
      <c r="P335" s="3"/>
      <c r="Q335" s="42"/>
      <c r="R335" s="42"/>
      <c r="S335" s="3"/>
      <c r="T335" s="3"/>
      <c r="U335" s="3"/>
      <c r="V335" s="3"/>
      <c r="W335" s="3"/>
      <c r="X335" s="3"/>
      <c r="Y335" s="10"/>
      <c r="Z335" s="4"/>
      <c r="AA335" s="4"/>
      <c r="AB335" s="5"/>
      <c r="AC335" s="5"/>
      <c r="AD335" s="5"/>
      <c r="AE335" s="5"/>
    </row>
    <row r="336" spans="1:31" ht="15.75" customHeight="1" x14ac:dyDescent="0.25">
      <c r="A336" s="5" t="s">
        <v>292</v>
      </c>
      <c r="B336" s="3"/>
      <c r="C336" s="3">
        <v>6313</v>
      </c>
      <c r="D336" s="3"/>
      <c r="E336" s="3">
        <v>1572.94</v>
      </c>
      <c r="F336" s="3"/>
      <c r="G336" s="3"/>
      <c r="H336" s="3"/>
      <c r="I336" s="3"/>
      <c r="J336" s="3"/>
      <c r="K336" s="3"/>
      <c r="L336" s="3"/>
      <c r="M336" s="5"/>
      <c r="N336" s="5">
        <v>20722</v>
      </c>
      <c r="O336" s="52"/>
      <c r="P336" s="3"/>
      <c r="Q336" s="42"/>
      <c r="R336" s="42"/>
      <c r="S336" s="3"/>
      <c r="T336" s="3">
        <f t="shared" ref="T336:T337" si="127">+R336+S336</f>
        <v>0</v>
      </c>
      <c r="U336" s="3">
        <f>+T336-P336</f>
        <v>0</v>
      </c>
      <c r="V336" s="3">
        <f>+T336-Q336</f>
        <v>0</v>
      </c>
      <c r="W336" s="3">
        <v>1000</v>
      </c>
      <c r="X336" s="3">
        <f>+W336-P336</f>
        <v>1000</v>
      </c>
      <c r="Y336" s="10"/>
      <c r="Z336" s="4" t="s">
        <v>455</v>
      </c>
      <c r="AA336" s="4"/>
      <c r="AB336" s="5"/>
      <c r="AC336" s="5"/>
      <c r="AD336" s="5"/>
      <c r="AE336" s="5"/>
    </row>
    <row r="337" spans="1:31" ht="15.75" customHeight="1" x14ac:dyDescent="0.25">
      <c r="A337" s="5" t="s">
        <v>293</v>
      </c>
      <c r="B337" s="3">
        <v>40486.79</v>
      </c>
      <c r="C337" s="3">
        <v>2658</v>
      </c>
      <c r="D337" s="3">
        <v>2500</v>
      </c>
      <c r="E337" s="3"/>
      <c r="F337" s="3"/>
      <c r="G337" s="3"/>
      <c r="H337" s="3"/>
      <c r="I337" s="3">
        <v>6.89</v>
      </c>
      <c r="J337" s="3"/>
      <c r="K337" s="3"/>
      <c r="L337" s="3"/>
      <c r="M337" s="3">
        <v>378286.51</v>
      </c>
      <c r="N337" s="3"/>
      <c r="O337" s="52"/>
      <c r="P337" s="3"/>
      <c r="Q337" s="42"/>
      <c r="R337" s="42"/>
      <c r="S337" s="3"/>
      <c r="T337" s="3">
        <f t="shared" si="127"/>
        <v>0</v>
      </c>
      <c r="U337" s="3">
        <f>+T337-P337</f>
        <v>0</v>
      </c>
      <c r="V337" s="3">
        <f>+T337-Q337</f>
        <v>0</v>
      </c>
      <c r="W337" s="3"/>
      <c r="X337" s="3">
        <f>+W337-P337</f>
        <v>0</v>
      </c>
      <c r="Y337" s="10"/>
      <c r="Z337" s="4"/>
      <c r="AA337" s="4"/>
      <c r="AB337" s="5"/>
      <c r="AC337" s="5"/>
      <c r="AD337" s="5"/>
      <c r="AE337" s="24"/>
    </row>
    <row r="338" spans="1:31" ht="15.75" hidden="1" customHeight="1" x14ac:dyDescent="0.25">
      <c r="A338" s="5" t="s">
        <v>294</v>
      </c>
      <c r="B338" s="3"/>
      <c r="C338" s="3">
        <v>37433</v>
      </c>
      <c r="D338" s="3">
        <v>7251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52"/>
      <c r="P338" s="3"/>
      <c r="Q338" s="42"/>
      <c r="R338" s="42"/>
      <c r="S338" s="3"/>
      <c r="T338" s="3"/>
      <c r="U338" s="3"/>
      <c r="V338" s="3">
        <f>+T338-Q338</f>
        <v>0</v>
      </c>
      <c r="W338" s="3"/>
      <c r="X338" s="3"/>
      <c r="Y338" s="10"/>
      <c r="Z338" s="4"/>
      <c r="AA338" s="4"/>
      <c r="AB338" s="5"/>
      <c r="AC338" s="5"/>
      <c r="AD338" s="5"/>
      <c r="AE338" s="5"/>
    </row>
    <row r="339" spans="1:31" ht="15.75" hidden="1" customHeight="1" x14ac:dyDescent="0.25">
      <c r="A339" s="5" t="s">
        <v>295</v>
      </c>
      <c r="B339" s="3"/>
      <c r="C339" s="3">
        <v>133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52"/>
      <c r="P339" s="3"/>
      <c r="Q339" s="42"/>
      <c r="R339" s="42"/>
      <c r="S339" s="3"/>
      <c r="T339" s="3"/>
      <c r="U339" s="3"/>
      <c r="V339" s="3">
        <f>+T339-Q339</f>
        <v>0</v>
      </c>
      <c r="W339" s="3"/>
      <c r="X339" s="3"/>
      <c r="Y339" s="10"/>
      <c r="Z339" s="4"/>
      <c r="AA339" s="4"/>
      <c r="AB339" s="5"/>
      <c r="AC339" s="5"/>
      <c r="AD339" s="5"/>
      <c r="AE339" s="5"/>
    </row>
    <row r="340" spans="1:31" ht="15.75" customHeight="1" x14ac:dyDescent="0.25">
      <c r="A340" s="1" t="s">
        <v>42</v>
      </c>
      <c r="B340" s="13">
        <f t="shared" ref="B340:X340" si="128">SUM(B336:B339)</f>
        <v>40486.79</v>
      </c>
      <c r="C340" s="13">
        <f t="shared" si="128"/>
        <v>46537</v>
      </c>
      <c r="D340" s="13">
        <f t="shared" si="128"/>
        <v>9751</v>
      </c>
      <c r="E340" s="13">
        <f t="shared" si="128"/>
        <v>1572.94</v>
      </c>
      <c r="F340" s="13">
        <f t="shared" si="128"/>
        <v>0</v>
      </c>
      <c r="G340" s="13">
        <f t="shared" si="128"/>
        <v>0</v>
      </c>
      <c r="H340" s="13">
        <f t="shared" si="128"/>
        <v>0</v>
      </c>
      <c r="I340" s="13">
        <f t="shared" si="128"/>
        <v>6.89</v>
      </c>
      <c r="J340" s="13">
        <f t="shared" si="128"/>
        <v>0</v>
      </c>
      <c r="K340" s="13">
        <f t="shared" si="128"/>
        <v>0</v>
      </c>
      <c r="L340" s="13">
        <f t="shared" si="128"/>
        <v>0</v>
      </c>
      <c r="M340" s="13">
        <f t="shared" si="128"/>
        <v>378286.51</v>
      </c>
      <c r="N340" s="13">
        <f t="shared" si="128"/>
        <v>20722</v>
      </c>
      <c r="O340" s="54">
        <f t="shared" si="128"/>
        <v>0</v>
      </c>
      <c r="P340" s="13">
        <f t="shared" si="128"/>
        <v>0</v>
      </c>
      <c r="Q340" s="44">
        <f t="shared" si="128"/>
        <v>0</v>
      </c>
      <c r="R340" s="44">
        <f t="shared" si="128"/>
        <v>0</v>
      </c>
      <c r="S340" s="13">
        <f t="shared" si="128"/>
        <v>0</v>
      </c>
      <c r="T340" s="13">
        <f t="shared" si="128"/>
        <v>0</v>
      </c>
      <c r="U340" s="13">
        <f t="shared" si="128"/>
        <v>0</v>
      </c>
      <c r="V340" s="13">
        <f t="shared" si="128"/>
        <v>0</v>
      </c>
      <c r="W340" s="13">
        <f t="shared" si="128"/>
        <v>1000</v>
      </c>
      <c r="X340" s="13">
        <f t="shared" si="128"/>
        <v>1000</v>
      </c>
      <c r="Y340" s="16">
        <v>0</v>
      </c>
      <c r="Z340" s="22"/>
      <c r="AA340" s="4"/>
      <c r="AB340" s="2"/>
      <c r="AC340" s="2"/>
      <c r="AD340" s="2"/>
      <c r="AE340" s="2"/>
    </row>
    <row r="341" spans="1:31" ht="15.75" customHeight="1" x14ac:dyDescent="0.25">
      <c r="A341" s="1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54"/>
      <c r="P341" s="13"/>
      <c r="Q341" s="44"/>
      <c r="R341" s="44"/>
      <c r="S341" s="13"/>
      <c r="T341" s="13"/>
      <c r="U341" s="13"/>
      <c r="V341" s="13"/>
      <c r="W341" s="13"/>
      <c r="X341" s="13"/>
      <c r="Y341" s="16"/>
      <c r="Z341" s="22"/>
      <c r="AA341" s="4"/>
      <c r="AB341" s="2"/>
      <c r="AC341" s="2"/>
      <c r="AD341" s="2"/>
      <c r="AE341" s="2"/>
    </row>
    <row r="342" spans="1:31" ht="15.75" customHeight="1" x14ac:dyDescent="0.25">
      <c r="A342" s="8" t="s">
        <v>296</v>
      </c>
      <c r="B342" s="13">
        <f t="shared" ref="B342:J342" si="129">+B14+B25+B33+B53+B70+B74+B93+B103+B161+B167+B203+B251+B278+B293+B333+B340</f>
        <v>3326919.16</v>
      </c>
      <c r="C342" s="13">
        <f t="shared" si="129"/>
        <v>3448169.45</v>
      </c>
      <c r="D342" s="13">
        <f t="shared" si="129"/>
        <v>3521981.4</v>
      </c>
      <c r="E342" s="13">
        <f t="shared" si="129"/>
        <v>3486659.8</v>
      </c>
      <c r="F342" s="13">
        <f t="shared" si="129"/>
        <v>3219833.8000000003</v>
      </c>
      <c r="G342" s="13">
        <f t="shared" si="129"/>
        <v>3509267.83</v>
      </c>
      <c r="H342" s="13">
        <f t="shared" si="129"/>
        <v>4100957.72</v>
      </c>
      <c r="I342" s="13">
        <f t="shared" si="129"/>
        <v>3819571.6599999997</v>
      </c>
      <c r="J342" s="13">
        <f t="shared" si="129"/>
        <v>3670467.98</v>
      </c>
      <c r="K342" s="13" t="e">
        <f>+K14+K25+K33+K53+K70+K74+K93+K103+K161+K167+K203+K251+K278+K293+K333+K340+#REF!</f>
        <v>#REF!</v>
      </c>
      <c r="L342" s="13">
        <f>+L14+L25+L33+L53+L70+L74+L93+L103+L161+L167+L203+L251+L278+L293+L333+L340</f>
        <v>4414494.34</v>
      </c>
      <c r="M342" s="13">
        <f t="shared" ref="M342:W342" si="130">+M14+M25+M33+M53+M70+M74+M93+M103+M161+M167+M203+M251+M278+M293+M333+M340</f>
        <v>5203366.2999999989</v>
      </c>
      <c r="N342" s="13">
        <f t="shared" si="130"/>
        <v>4907321</v>
      </c>
      <c r="O342" s="13">
        <f t="shared" si="130"/>
        <v>4989378.82</v>
      </c>
      <c r="P342" s="13">
        <f t="shared" si="130"/>
        <v>5034144.29</v>
      </c>
      <c r="Q342" s="13">
        <f t="shared" si="130"/>
        <v>5786934.2699999996</v>
      </c>
      <c r="R342" s="13">
        <f t="shared" si="130"/>
        <v>3802633.6200000006</v>
      </c>
      <c r="S342" s="13">
        <f t="shared" si="130"/>
        <v>1617320.1442950002</v>
      </c>
      <c r="T342" s="13">
        <f t="shared" si="130"/>
        <v>5422612.7342950003</v>
      </c>
      <c r="U342" s="13">
        <f t="shared" si="130"/>
        <v>388468.44429500005</v>
      </c>
      <c r="V342" s="13">
        <f t="shared" si="130"/>
        <v>-364321.5357050001</v>
      </c>
      <c r="W342" s="13">
        <f t="shared" si="130"/>
        <v>5417711.4100000001</v>
      </c>
      <c r="X342" s="13">
        <f>+X14+X25+X33+X53+X70+X74+X93+X103+X161+X167+X203+X251+X278+X293+X333+X340</f>
        <v>383567.12</v>
      </c>
      <c r="Y342" s="68">
        <f>+X342/P342</f>
        <v>7.6193112057183404E-2</v>
      </c>
      <c r="Z342" s="4"/>
      <c r="AA342" s="4"/>
      <c r="AB342" s="5"/>
      <c r="AC342" s="5"/>
      <c r="AD342" s="5"/>
      <c r="AE342" s="5"/>
    </row>
    <row r="343" spans="1:31" ht="15.75" customHeight="1" x14ac:dyDescent="0.25">
      <c r="A343" s="8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44"/>
      <c r="P343" s="13"/>
      <c r="Q343" s="44"/>
      <c r="R343" s="44"/>
      <c r="S343" s="13"/>
      <c r="T343" s="3"/>
      <c r="U343" s="3"/>
      <c r="V343" s="3"/>
      <c r="W343" s="13"/>
      <c r="X343" s="3"/>
      <c r="Y343" s="10"/>
      <c r="Z343" s="4"/>
      <c r="AA343" s="4"/>
      <c r="AB343" s="5"/>
      <c r="AC343" s="5"/>
      <c r="AD343" s="5"/>
      <c r="AE343" s="5"/>
    </row>
    <row r="344" spans="1:31" ht="15.75" customHeight="1" x14ac:dyDescent="0.25">
      <c r="A344" s="8" t="s">
        <v>297</v>
      </c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13"/>
      <c r="O344" s="44"/>
      <c r="P344" s="7"/>
      <c r="Q344" s="45"/>
      <c r="R344" s="45"/>
      <c r="S344" s="7"/>
      <c r="T344" s="3"/>
      <c r="U344" s="3"/>
      <c r="V344" s="3"/>
      <c r="W344" s="7"/>
      <c r="X344" s="3"/>
      <c r="Y344" s="10"/>
      <c r="Z344" s="4"/>
      <c r="AA344" s="4"/>
      <c r="AB344" s="5"/>
      <c r="AC344" s="5"/>
      <c r="AD344" s="5"/>
      <c r="AE344" s="5"/>
    </row>
    <row r="345" spans="1:31" ht="15.75" hidden="1" customHeight="1" x14ac:dyDescent="0.25">
      <c r="A345" s="5" t="s">
        <v>299</v>
      </c>
      <c r="B345" s="3"/>
      <c r="C345" s="3"/>
      <c r="D345" s="3">
        <v>61.8</v>
      </c>
      <c r="E345" s="3"/>
      <c r="F345" s="3"/>
      <c r="G345" s="3">
        <v>61.8</v>
      </c>
      <c r="H345" s="3"/>
      <c r="I345" s="3"/>
      <c r="J345" s="3">
        <v>61.8</v>
      </c>
      <c r="K345" s="3">
        <v>61</v>
      </c>
      <c r="L345" s="3"/>
      <c r="M345" s="3"/>
      <c r="N345" s="3"/>
      <c r="O345" s="42"/>
      <c r="P345" s="3"/>
      <c r="Q345" s="42"/>
      <c r="R345" s="42"/>
      <c r="S345" s="3"/>
      <c r="T345" s="3">
        <f t="shared" ref="T345:T393" si="131">+R345+S345</f>
        <v>0</v>
      </c>
      <c r="U345" s="3">
        <f t="shared" ref="U345:U393" si="132">+T345-P345</f>
        <v>0</v>
      </c>
      <c r="V345" s="3">
        <f t="shared" ref="V345:V393" si="133">+T345-Q345</f>
        <v>0</v>
      </c>
      <c r="W345" s="3"/>
      <c r="X345" s="3">
        <f>+W345-P345</f>
        <v>0</v>
      </c>
      <c r="Y345" s="10"/>
      <c r="Z345" s="4"/>
      <c r="AA345" s="4"/>
      <c r="AB345" s="5"/>
      <c r="AC345" s="5"/>
      <c r="AD345" s="5"/>
      <c r="AE345" s="5"/>
    </row>
    <row r="346" spans="1:31" ht="15.75" customHeight="1" x14ac:dyDescent="0.25">
      <c r="A346" s="5" t="s">
        <v>298</v>
      </c>
      <c r="B346" s="3">
        <v>17099.080000000002</v>
      </c>
      <c r="C346" s="3">
        <v>18699.2</v>
      </c>
      <c r="D346" s="3">
        <v>20311.97</v>
      </c>
      <c r="E346" s="3">
        <v>19772.37</v>
      </c>
      <c r="F346" s="3">
        <v>20005.009999999998</v>
      </c>
      <c r="G346" s="3">
        <v>20483.38</v>
      </c>
      <c r="H346" s="3">
        <v>21819.23</v>
      </c>
      <c r="I346" s="3">
        <v>20151.95</v>
      </c>
      <c r="J346" s="3">
        <v>20620.29</v>
      </c>
      <c r="K346" s="3">
        <v>20652.009999999998</v>
      </c>
      <c r="L346" s="3">
        <v>20067.89</v>
      </c>
      <c r="M346" s="3">
        <v>20423.48</v>
      </c>
      <c r="N346" s="3">
        <v>23508</v>
      </c>
      <c r="O346" s="42">
        <v>26948.54</v>
      </c>
      <c r="P346" s="3">
        <v>22000</v>
      </c>
      <c r="Q346" s="42">
        <v>22000</v>
      </c>
      <c r="R346" s="48">
        <v>14920.49</v>
      </c>
      <c r="S346" s="25">
        <v>16577</v>
      </c>
      <c r="T346" s="3">
        <f t="shared" ref="T346" si="134">+R346+S346</f>
        <v>31497.489999999998</v>
      </c>
      <c r="U346" s="3">
        <f t="shared" si="132"/>
        <v>9497.489999999998</v>
      </c>
      <c r="V346" s="3">
        <f t="shared" si="133"/>
        <v>9497.489999999998</v>
      </c>
      <c r="W346" s="3">
        <v>26000</v>
      </c>
      <c r="X346" s="3">
        <f>+W346-Q346</f>
        <v>4000</v>
      </c>
      <c r="Y346" s="10">
        <f>+X346/P346</f>
        <v>0.18181818181818182</v>
      </c>
      <c r="Z346" s="4"/>
      <c r="AA346" s="4"/>
      <c r="AB346" s="5"/>
      <c r="AC346" s="5"/>
      <c r="AD346" s="5"/>
      <c r="AE346" s="5"/>
    </row>
    <row r="347" spans="1:31" ht="15.75" customHeight="1" x14ac:dyDescent="0.25">
      <c r="A347" s="34" t="s">
        <v>413</v>
      </c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42"/>
      <c r="P347" s="3"/>
      <c r="Q347" s="42">
        <v>0</v>
      </c>
      <c r="R347" s="42">
        <v>0</v>
      </c>
      <c r="S347" s="3">
        <v>1512.5</v>
      </c>
      <c r="T347" s="3">
        <f t="shared" ref="T347" si="135">+R347+S347</f>
        <v>1512.5</v>
      </c>
      <c r="U347" s="3">
        <f t="shared" si="132"/>
        <v>1512.5</v>
      </c>
      <c r="V347" s="3">
        <f t="shared" si="133"/>
        <v>1512.5</v>
      </c>
      <c r="W347" s="3">
        <v>0</v>
      </c>
      <c r="X347" s="3">
        <f>+W347-Q347</f>
        <v>0</v>
      </c>
      <c r="Y347" s="10"/>
      <c r="Z347" s="57" t="s">
        <v>431</v>
      </c>
      <c r="AA347" s="4"/>
      <c r="AB347" s="5"/>
      <c r="AC347" s="5"/>
      <c r="AD347" s="5"/>
      <c r="AE347" s="5"/>
    </row>
    <row r="348" spans="1:31" ht="15.75" customHeight="1" x14ac:dyDescent="0.25">
      <c r="A348" s="5" t="s">
        <v>300</v>
      </c>
      <c r="B348" s="3">
        <v>447172.54</v>
      </c>
      <c r="C348" s="3">
        <v>477072</v>
      </c>
      <c r="D348" s="3">
        <v>469625.27</v>
      </c>
      <c r="E348" s="3">
        <v>478523.75</v>
      </c>
      <c r="F348" s="3">
        <v>482022.61</v>
      </c>
      <c r="G348" s="3">
        <v>498729.2</v>
      </c>
      <c r="H348" s="3">
        <v>525767.93000000005</v>
      </c>
      <c r="I348" s="3">
        <v>530604.73</v>
      </c>
      <c r="J348" s="3">
        <v>517603.82</v>
      </c>
      <c r="K348" s="3">
        <v>579203.03</v>
      </c>
      <c r="L348" s="3">
        <v>589831.92000000004</v>
      </c>
      <c r="M348" s="3">
        <v>576158.71999999997</v>
      </c>
      <c r="N348" s="3">
        <v>630032</v>
      </c>
      <c r="O348" s="42">
        <v>631458.97</v>
      </c>
      <c r="P348" s="3">
        <v>600000</v>
      </c>
      <c r="Q348" s="42">
        <v>600000</v>
      </c>
      <c r="R348" s="48">
        <v>335484.01</v>
      </c>
      <c r="S348" s="25">
        <f>149000+159000</f>
        <v>308000</v>
      </c>
      <c r="T348" s="3">
        <f t="shared" si="131"/>
        <v>643484.01</v>
      </c>
      <c r="U348" s="3">
        <f t="shared" si="132"/>
        <v>43484.010000000009</v>
      </c>
      <c r="V348" s="3">
        <f t="shared" si="133"/>
        <v>43484.010000000009</v>
      </c>
      <c r="W348" s="3">
        <v>630000</v>
      </c>
      <c r="X348" s="3">
        <f t="shared" ref="X348:X381" si="136">+W348-P348</f>
        <v>30000</v>
      </c>
      <c r="Y348" s="10">
        <f>+X348/P348</f>
        <v>0.05</v>
      </c>
      <c r="Z348" s="4"/>
      <c r="AA348" s="4"/>
      <c r="AB348" s="5"/>
      <c r="AC348" s="5"/>
      <c r="AD348" s="5"/>
      <c r="AE348" s="5"/>
    </row>
    <row r="349" spans="1:31" ht="15.75" customHeight="1" x14ac:dyDescent="0.25">
      <c r="A349" s="5" t="s">
        <v>301</v>
      </c>
      <c r="B349" s="3">
        <v>40627.81</v>
      </c>
      <c r="C349" s="3">
        <v>37143</v>
      </c>
      <c r="D349" s="3">
        <v>44593.16</v>
      </c>
      <c r="E349" s="3">
        <v>41094.129999999997</v>
      </c>
      <c r="F349" s="3">
        <v>38701.07</v>
      </c>
      <c r="G349" s="3">
        <v>40995.69</v>
      </c>
      <c r="H349" s="3">
        <v>44929.52</v>
      </c>
      <c r="I349" s="3">
        <v>34644.239999999998</v>
      </c>
      <c r="J349" s="3">
        <v>41156.35</v>
      </c>
      <c r="K349" s="3">
        <v>41618.85</v>
      </c>
      <c r="L349" s="3">
        <v>47106.94</v>
      </c>
      <c r="M349" s="3">
        <v>55145.760000000002</v>
      </c>
      <c r="N349" s="3">
        <v>52297</v>
      </c>
      <c r="O349" s="42">
        <v>50852.6</v>
      </c>
      <c r="P349" s="3">
        <v>47000</v>
      </c>
      <c r="Q349" s="42">
        <v>47000</v>
      </c>
      <c r="R349" s="48">
        <v>484.65</v>
      </c>
      <c r="S349" s="25">
        <v>50000</v>
      </c>
      <c r="T349" s="3">
        <f t="shared" si="131"/>
        <v>50484.65</v>
      </c>
      <c r="U349" s="3">
        <f t="shared" si="132"/>
        <v>3484.6500000000015</v>
      </c>
      <c r="V349" s="3">
        <f t="shared" si="133"/>
        <v>3484.6500000000015</v>
      </c>
      <c r="W349" s="3">
        <v>50000</v>
      </c>
      <c r="X349" s="3">
        <f t="shared" si="136"/>
        <v>3000</v>
      </c>
      <c r="Y349" s="10">
        <f>+X349/P349</f>
        <v>6.3829787234042548E-2</v>
      </c>
      <c r="Z349" s="4"/>
      <c r="AA349" s="4"/>
      <c r="AB349" s="5"/>
      <c r="AC349" s="5"/>
      <c r="AD349" s="5"/>
      <c r="AE349" s="5"/>
    </row>
    <row r="350" spans="1:31" ht="15.75" customHeight="1" x14ac:dyDescent="0.25">
      <c r="A350" s="5" t="s">
        <v>302</v>
      </c>
      <c r="B350" s="3">
        <v>67768</v>
      </c>
      <c r="C350" s="3">
        <v>61945</v>
      </c>
      <c r="D350" s="3">
        <v>77778</v>
      </c>
      <c r="E350" s="3">
        <v>87814</v>
      </c>
      <c r="F350" s="3">
        <v>88297</v>
      </c>
      <c r="G350" s="3">
        <v>91795</v>
      </c>
      <c r="H350" s="3">
        <v>94128</v>
      </c>
      <c r="I350" s="3">
        <v>90985.62</v>
      </c>
      <c r="J350" s="3">
        <v>84302</v>
      </c>
      <c r="K350" s="3">
        <v>79897</v>
      </c>
      <c r="L350" s="3">
        <v>78772</v>
      </c>
      <c r="M350" s="3">
        <v>76517.67</v>
      </c>
      <c r="N350" s="3">
        <v>75939</v>
      </c>
      <c r="O350" s="42">
        <v>77221.33</v>
      </c>
      <c r="P350" s="3">
        <v>70000</v>
      </c>
      <c r="Q350" s="42">
        <v>70000</v>
      </c>
      <c r="R350" s="48">
        <v>35999</v>
      </c>
      <c r="S350" s="25">
        <f>18000*2</f>
        <v>36000</v>
      </c>
      <c r="T350" s="3">
        <f t="shared" si="131"/>
        <v>71999</v>
      </c>
      <c r="U350" s="3">
        <f t="shared" si="132"/>
        <v>1999</v>
      </c>
      <c r="V350" s="3">
        <f t="shared" si="133"/>
        <v>1999</v>
      </c>
      <c r="W350" s="3">
        <v>70000</v>
      </c>
      <c r="X350" s="3">
        <f t="shared" si="136"/>
        <v>0</v>
      </c>
      <c r="Y350" s="10">
        <f>+X350/P350</f>
        <v>0</v>
      </c>
      <c r="Z350" s="57"/>
      <c r="AA350" s="4"/>
      <c r="AB350" s="5"/>
      <c r="AC350" s="5"/>
      <c r="AD350" s="5"/>
      <c r="AE350" s="5"/>
    </row>
    <row r="351" spans="1:31" ht="15.75" customHeight="1" x14ac:dyDescent="0.25">
      <c r="A351" s="5" t="s">
        <v>303</v>
      </c>
      <c r="B351" s="3">
        <v>1628.75</v>
      </c>
      <c r="C351" s="3">
        <v>1292</v>
      </c>
      <c r="D351" s="3">
        <v>1128.75</v>
      </c>
      <c r="E351" s="3">
        <v>882.15</v>
      </c>
      <c r="F351" s="3">
        <v>795</v>
      </c>
      <c r="G351" s="3">
        <v>1193.25</v>
      </c>
      <c r="H351" s="3">
        <v>808.5</v>
      </c>
      <c r="I351" s="3">
        <v>542.25</v>
      </c>
      <c r="J351" s="3">
        <v>834</v>
      </c>
      <c r="K351" s="3">
        <v>1361</v>
      </c>
      <c r="L351" s="3">
        <v>1757.75</v>
      </c>
      <c r="M351" s="3">
        <v>1447</v>
      </c>
      <c r="N351" s="3">
        <v>640</v>
      </c>
      <c r="O351" s="42">
        <v>1573.5</v>
      </c>
      <c r="P351" s="3">
        <v>600</v>
      </c>
      <c r="Q351" s="42">
        <v>600</v>
      </c>
      <c r="R351" s="48">
        <v>457.5</v>
      </c>
      <c r="S351" s="25">
        <v>90</v>
      </c>
      <c r="T351" s="3">
        <f t="shared" si="131"/>
        <v>547.5</v>
      </c>
      <c r="U351" s="3">
        <f t="shared" si="132"/>
        <v>-52.5</v>
      </c>
      <c r="V351" s="3">
        <f t="shared" si="133"/>
        <v>-52.5</v>
      </c>
      <c r="W351" s="3">
        <v>600</v>
      </c>
      <c r="X351" s="3">
        <f t="shared" si="136"/>
        <v>0</v>
      </c>
      <c r="Y351" s="10">
        <f>+X351/P351</f>
        <v>0</v>
      </c>
      <c r="Z351" s="4"/>
      <c r="AA351" s="4"/>
      <c r="AB351" s="5"/>
      <c r="AC351" s="5"/>
      <c r="AD351" s="5"/>
      <c r="AE351" s="5"/>
    </row>
    <row r="352" spans="1:31" ht="15.75" customHeight="1" x14ac:dyDescent="0.25">
      <c r="A352" s="5" t="s">
        <v>304</v>
      </c>
      <c r="B352" s="3">
        <v>6235</v>
      </c>
      <c r="C352" s="3">
        <v>6200</v>
      </c>
      <c r="D352" s="3">
        <v>5700.25</v>
      </c>
      <c r="E352" s="3">
        <v>5620</v>
      </c>
      <c r="F352" s="3">
        <v>4890</v>
      </c>
      <c r="G352" s="3">
        <v>5045</v>
      </c>
      <c r="H352" s="3">
        <v>3390</v>
      </c>
      <c r="I352" s="3">
        <v>4235</v>
      </c>
      <c r="J352" s="3">
        <v>4360</v>
      </c>
      <c r="K352" s="3">
        <v>3912</v>
      </c>
      <c r="L352" s="3">
        <v>3359</v>
      </c>
      <c r="M352" s="3">
        <v>3401</v>
      </c>
      <c r="N352" s="3">
        <v>3002</v>
      </c>
      <c r="O352" s="42">
        <v>3092</v>
      </c>
      <c r="P352" s="3">
        <v>3400</v>
      </c>
      <c r="Q352" s="42">
        <v>3400</v>
      </c>
      <c r="R352" s="48">
        <v>3422</v>
      </c>
      <c r="S352" s="25">
        <f>400*4</f>
        <v>1600</v>
      </c>
      <c r="T352" s="3">
        <f t="shared" si="131"/>
        <v>5022</v>
      </c>
      <c r="U352" s="3">
        <f t="shared" si="132"/>
        <v>1622</v>
      </c>
      <c r="V352" s="3">
        <f t="shared" si="133"/>
        <v>1622</v>
      </c>
      <c r="W352" s="3">
        <v>3400</v>
      </c>
      <c r="X352" s="3">
        <f t="shared" si="136"/>
        <v>0</v>
      </c>
      <c r="Y352" s="10">
        <f>+X352/P352</f>
        <v>0</v>
      </c>
      <c r="Z352" s="4"/>
      <c r="AA352" s="4"/>
      <c r="AB352" s="5"/>
      <c r="AC352" s="5"/>
      <c r="AD352" s="5"/>
      <c r="AE352" s="5"/>
    </row>
    <row r="353" spans="1:31" ht="15.75" customHeight="1" x14ac:dyDescent="0.25">
      <c r="A353" s="5" t="s">
        <v>305</v>
      </c>
      <c r="B353" s="3"/>
      <c r="C353" s="3"/>
      <c r="D353" s="3"/>
      <c r="E353" s="3">
        <v>270</v>
      </c>
      <c r="F353" s="3"/>
      <c r="G353" s="3">
        <v>660</v>
      </c>
      <c r="H353" s="3">
        <v>620</v>
      </c>
      <c r="I353" s="3">
        <v>10</v>
      </c>
      <c r="J353" s="3"/>
      <c r="K353" s="3"/>
      <c r="L353" s="3"/>
      <c r="M353" s="3">
        <v>410</v>
      </c>
      <c r="N353" s="3">
        <v>820</v>
      </c>
      <c r="O353" s="42">
        <v>1330</v>
      </c>
      <c r="P353" s="3">
        <v>1000</v>
      </c>
      <c r="Q353" s="42">
        <v>1000</v>
      </c>
      <c r="R353" s="48">
        <v>920</v>
      </c>
      <c r="S353" s="25">
        <v>230</v>
      </c>
      <c r="T353" s="3">
        <f t="shared" si="131"/>
        <v>1150</v>
      </c>
      <c r="U353" s="3">
        <f t="shared" si="132"/>
        <v>150</v>
      </c>
      <c r="V353" s="3">
        <f t="shared" si="133"/>
        <v>150</v>
      </c>
      <c r="W353" s="3">
        <v>1000</v>
      </c>
      <c r="X353" s="3">
        <f t="shared" si="136"/>
        <v>0</v>
      </c>
      <c r="Y353" s="10"/>
      <c r="Z353" s="4" t="s">
        <v>306</v>
      </c>
      <c r="AA353" s="4"/>
      <c r="AB353" s="5"/>
      <c r="AC353" s="5"/>
      <c r="AD353" s="5"/>
      <c r="AE353" s="5"/>
    </row>
    <row r="354" spans="1:31" ht="15.75" hidden="1" customHeight="1" x14ac:dyDescent="0.25">
      <c r="A354" s="5" t="s">
        <v>307</v>
      </c>
      <c r="B354" s="3">
        <v>5000</v>
      </c>
      <c r="C354" s="3">
        <v>470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42"/>
      <c r="P354" s="3"/>
      <c r="Q354" s="42"/>
      <c r="R354" s="48"/>
      <c r="S354" s="25"/>
      <c r="T354" s="3">
        <f t="shared" si="131"/>
        <v>0</v>
      </c>
      <c r="U354" s="3">
        <f t="shared" si="132"/>
        <v>0</v>
      </c>
      <c r="V354" s="3">
        <f t="shared" si="133"/>
        <v>0</v>
      </c>
      <c r="W354" s="3"/>
      <c r="X354" s="3">
        <f t="shared" si="136"/>
        <v>0</v>
      </c>
      <c r="Y354" s="10" t="e">
        <f>+X354/P354</f>
        <v>#DIV/0!</v>
      </c>
      <c r="Z354" s="4"/>
      <c r="AA354" s="4"/>
      <c r="AB354" s="5"/>
      <c r="AC354" s="5"/>
      <c r="AD354" s="5"/>
      <c r="AE354" s="5"/>
    </row>
    <row r="355" spans="1:31" ht="15.75" customHeight="1" x14ac:dyDescent="0.25">
      <c r="A355" s="5" t="s">
        <v>308</v>
      </c>
      <c r="B355" s="3">
        <v>1513.75</v>
      </c>
      <c r="C355" s="3">
        <v>1612</v>
      </c>
      <c r="D355" s="3">
        <v>1296.74</v>
      </c>
      <c r="E355" s="3">
        <v>1664.25</v>
      </c>
      <c r="F355" s="3">
        <v>1430.94</v>
      </c>
      <c r="G355" s="3">
        <v>1319.12</v>
      </c>
      <c r="H355" s="3">
        <v>1343.61</v>
      </c>
      <c r="I355" s="3">
        <v>1496.96</v>
      </c>
      <c r="J355" s="3">
        <v>1420.46</v>
      </c>
      <c r="K355" s="3">
        <v>972.5</v>
      </c>
      <c r="L355" s="3">
        <v>1308.8399999999999</v>
      </c>
      <c r="M355" s="3">
        <v>1935</v>
      </c>
      <c r="N355" s="3">
        <v>1725</v>
      </c>
      <c r="O355" s="42">
        <v>1578.36</v>
      </c>
      <c r="P355" s="3">
        <v>1600</v>
      </c>
      <c r="Q355" s="42">
        <v>1600</v>
      </c>
      <c r="R355" s="48">
        <v>1790.68</v>
      </c>
      <c r="S355" s="3">
        <v>0</v>
      </c>
      <c r="T355" s="3">
        <f t="shared" si="131"/>
        <v>1790.68</v>
      </c>
      <c r="U355" s="3">
        <f t="shared" si="132"/>
        <v>190.68000000000006</v>
      </c>
      <c r="V355" s="3">
        <f t="shared" si="133"/>
        <v>190.68000000000006</v>
      </c>
      <c r="W355" s="3">
        <v>1600</v>
      </c>
      <c r="X355" s="3">
        <f t="shared" si="136"/>
        <v>0</v>
      </c>
      <c r="Y355" s="10">
        <f>+X355/P355</f>
        <v>0</v>
      </c>
      <c r="Z355" s="4"/>
      <c r="AA355" s="4"/>
      <c r="AB355" s="5"/>
      <c r="AC355" s="5"/>
      <c r="AD355" s="5"/>
      <c r="AE355" s="5"/>
    </row>
    <row r="356" spans="1:31" ht="15.75" customHeight="1" x14ac:dyDescent="0.25">
      <c r="A356" s="5" t="s">
        <v>309</v>
      </c>
      <c r="B356" s="3">
        <v>15000</v>
      </c>
      <c r="C356" s="3">
        <v>15000</v>
      </c>
      <c r="D356" s="3">
        <v>16250</v>
      </c>
      <c r="E356" s="3">
        <v>16250</v>
      </c>
      <c r="F356" s="3">
        <v>16250</v>
      </c>
      <c r="G356" s="3">
        <v>16250</v>
      </c>
      <c r="H356" s="3">
        <v>16250</v>
      </c>
      <c r="I356" s="3">
        <v>16250</v>
      </c>
      <c r="J356" s="3">
        <v>16250</v>
      </c>
      <c r="K356" s="3">
        <v>16250</v>
      </c>
      <c r="L356" s="3">
        <v>16250</v>
      </c>
      <c r="M356" s="3">
        <v>16250</v>
      </c>
      <c r="N356" s="3">
        <v>17680</v>
      </c>
      <c r="O356" s="42">
        <v>17680</v>
      </c>
      <c r="P356" s="3">
        <v>17680</v>
      </c>
      <c r="Q356" s="42">
        <v>17680</v>
      </c>
      <c r="R356" s="48">
        <v>17680</v>
      </c>
      <c r="S356" s="25">
        <v>0</v>
      </c>
      <c r="T356" s="3">
        <f t="shared" si="131"/>
        <v>17680</v>
      </c>
      <c r="U356" s="3">
        <f t="shared" si="132"/>
        <v>0</v>
      </c>
      <c r="V356" s="3">
        <f t="shared" si="133"/>
        <v>0</v>
      </c>
      <c r="W356" s="3">
        <v>17680</v>
      </c>
      <c r="X356" s="3">
        <f t="shared" si="136"/>
        <v>0</v>
      </c>
      <c r="Y356" s="10">
        <f>+X356/P356</f>
        <v>0</v>
      </c>
      <c r="Z356" s="4"/>
      <c r="AA356" s="4"/>
      <c r="AB356" s="5"/>
      <c r="AC356" s="5"/>
      <c r="AD356" s="5"/>
      <c r="AE356" s="5"/>
    </row>
    <row r="357" spans="1:31" ht="15.75" customHeight="1" x14ac:dyDescent="0.25">
      <c r="A357" s="5" t="s">
        <v>310</v>
      </c>
      <c r="B357" s="3"/>
      <c r="C357" s="3"/>
      <c r="D357" s="3"/>
      <c r="E357" s="3"/>
      <c r="F357" s="3">
        <v>2500</v>
      </c>
      <c r="G357" s="3"/>
      <c r="H357" s="3"/>
      <c r="I357" s="3"/>
      <c r="J357" s="3"/>
      <c r="K357" s="3"/>
      <c r="L357" s="3">
        <v>2500</v>
      </c>
      <c r="M357" s="3"/>
      <c r="N357" s="3"/>
      <c r="O357" s="42"/>
      <c r="P357" s="3"/>
      <c r="Q357" s="42"/>
      <c r="R357" s="48"/>
      <c r="S357" s="3">
        <v>0</v>
      </c>
      <c r="T357" s="3">
        <f t="shared" si="131"/>
        <v>0</v>
      </c>
      <c r="U357" s="3">
        <f t="shared" si="132"/>
        <v>0</v>
      </c>
      <c r="V357" s="3">
        <f t="shared" si="133"/>
        <v>0</v>
      </c>
      <c r="W357" s="3">
        <v>0</v>
      </c>
      <c r="X357" s="3">
        <f t="shared" si="136"/>
        <v>0</v>
      </c>
      <c r="Y357" s="10"/>
      <c r="Z357" s="4"/>
      <c r="AA357" s="4"/>
      <c r="AB357" s="5"/>
      <c r="AC357" s="5"/>
      <c r="AD357" s="5"/>
      <c r="AE357" s="5"/>
    </row>
    <row r="358" spans="1:31" ht="15.75" customHeight="1" x14ac:dyDescent="0.25">
      <c r="A358" s="5" t="s">
        <v>311</v>
      </c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>
        <v>1780.64</v>
      </c>
      <c r="M358" s="3">
        <v>599.03</v>
      </c>
      <c r="N358" s="3">
        <v>1076</v>
      </c>
      <c r="O358" s="42">
        <v>435.45</v>
      </c>
      <c r="P358" s="3">
        <v>400</v>
      </c>
      <c r="Q358" s="42">
        <v>400</v>
      </c>
      <c r="R358" s="48">
        <v>0.69</v>
      </c>
      <c r="S358" s="3">
        <v>0</v>
      </c>
      <c r="T358" s="3">
        <f t="shared" si="131"/>
        <v>0.69</v>
      </c>
      <c r="U358" s="3">
        <f t="shared" si="132"/>
        <v>-399.31</v>
      </c>
      <c r="V358" s="3">
        <f t="shared" si="133"/>
        <v>-399.31</v>
      </c>
      <c r="W358" s="3">
        <v>400</v>
      </c>
      <c r="X358" s="3">
        <f t="shared" si="136"/>
        <v>0</v>
      </c>
      <c r="Y358" s="10">
        <f t="shared" ref="Y358:Y363" si="137">+X358/P358</f>
        <v>0</v>
      </c>
      <c r="Z358" s="4"/>
      <c r="AA358" s="4"/>
      <c r="AB358" s="5"/>
      <c r="AC358" s="5"/>
      <c r="AD358" s="5"/>
      <c r="AE358" s="5"/>
    </row>
    <row r="359" spans="1:31" ht="15.75" customHeight="1" x14ac:dyDescent="0.25">
      <c r="A359" s="5" t="s">
        <v>312</v>
      </c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>
        <v>64419.02</v>
      </c>
      <c r="M359" s="3">
        <v>63609.9</v>
      </c>
      <c r="N359" s="3">
        <v>66026</v>
      </c>
      <c r="O359" s="42">
        <v>54717.51</v>
      </c>
      <c r="P359" s="3">
        <v>65000</v>
      </c>
      <c r="Q359" s="42">
        <v>65000</v>
      </c>
      <c r="R359" s="48">
        <v>23705.34</v>
      </c>
      <c r="S359" s="3">
        <v>38000</v>
      </c>
      <c r="T359" s="3">
        <f t="shared" si="131"/>
        <v>61705.34</v>
      </c>
      <c r="U359" s="3">
        <f t="shared" si="132"/>
        <v>-3294.6600000000035</v>
      </c>
      <c r="V359" s="3">
        <f t="shared" si="133"/>
        <v>-3294.6600000000035</v>
      </c>
      <c r="W359" s="3">
        <v>55000</v>
      </c>
      <c r="X359" s="3">
        <f t="shared" si="136"/>
        <v>-10000</v>
      </c>
      <c r="Y359" s="10">
        <f t="shared" si="137"/>
        <v>-0.15384615384615385</v>
      </c>
      <c r="Z359" s="57" t="s">
        <v>446</v>
      </c>
      <c r="AA359" s="4"/>
      <c r="AB359" s="5"/>
      <c r="AC359" s="5"/>
      <c r="AD359" s="5"/>
      <c r="AE359" s="5"/>
    </row>
    <row r="360" spans="1:31" ht="15.75" customHeight="1" x14ac:dyDescent="0.25">
      <c r="A360" s="5" t="s">
        <v>313</v>
      </c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>
        <v>16182</v>
      </c>
      <c r="M360" s="3">
        <v>27565.86</v>
      </c>
      <c r="N360" s="3">
        <v>21300</v>
      </c>
      <c r="O360" s="42">
        <v>23699</v>
      </c>
      <c r="P360" s="3">
        <v>24000</v>
      </c>
      <c r="Q360" s="42">
        <v>24000</v>
      </c>
      <c r="R360" s="48">
        <v>20021</v>
      </c>
      <c r="S360" s="3">
        <v>0</v>
      </c>
      <c r="T360" s="3">
        <f t="shared" si="131"/>
        <v>20021</v>
      </c>
      <c r="U360" s="3">
        <f t="shared" si="132"/>
        <v>-3979</v>
      </c>
      <c r="V360" s="3">
        <f t="shared" si="133"/>
        <v>-3979</v>
      </c>
      <c r="W360" s="3">
        <v>20000</v>
      </c>
      <c r="X360" s="3">
        <f t="shared" si="136"/>
        <v>-4000</v>
      </c>
      <c r="Y360" s="10">
        <f t="shared" si="137"/>
        <v>-0.16666666666666666</v>
      </c>
      <c r="Z360" s="57" t="s">
        <v>432</v>
      </c>
      <c r="AA360" s="4"/>
      <c r="AB360" s="5"/>
      <c r="AC360" s="5"/>
      <c r="AD360" s="5"/>
      <c r="AE360" s="5"/>
    </row>
    <row r="361" spans="1:31" ht="15.75" customHeight="1" x14ac:dyDescent="0.25">
      <c r="A361" s="5" t="s">
        <v>314</v>
      </c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>
        <v>14161.42</v>
      </c>
      <c r="M361" s="3">
        <v>6725.44</v>
      </c>
      <c r="N361" s="3">
        <v>3037</v>
      </c>
      <c r="O361" s="42">
        <v>5294.82</v>
      </c>
      <c r="P361" s="3">
        <v>3000</v>
      </c>
      <c r="Q361" s="42">
        <v>3000</v>
      </c>
      <c r="R361" s="48">
        <v>2972.04</v>
      </c>
      <c r="S361" s="3">
        <v>1080</v>
      </c>
      <c r="T361" s="3">
        <f t="shared" si="131"/>
        <v>4052.04</v>
      </c>
      <c r="U361" s="3">
        <f t="shared" si="132"/>
        <v>1052.04</v>
      </c>
      <c r="V361" s="3">
        <f t="shared" si="133"/>
        <v>1052.04</v>
      </c>
      <c r="W361" s="3">
        <v>3000</v>
      </c>
      <c r="X361" s="3">
        <f t="shared" si="136"/>
        <v>0</v>
      </c>
      <c r="Y361" s="10">
        <f t="shared" si="137"/>
        <v>0</v>
      </c>
      <c r="Z361" s="4"/>
      <c r="AA361" s="4"/>
      <c r="AB361" s="5"/>
      <c r="AC361" s="5"/>
      <c r="AD361" s="5"/>
      <c r="AE361" s="5"/>
    </row>
    <row r="362" spans="1:31" ht="15.75" customHeight="1" x14ac:dyDescent="0.25">
      <c r="A362" s="5" t="s">
        <v>315</v>
      </c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>
        <v>3343</v>
      </c>
      <c r="O362" s="42">
        <v>5339.37</v>
      </c>
      <c r="P362" s="3">
        <v>3000</v>
      </c>
      <c r="Q362" s="42">
        <v>3000</v>
      </c>
      <c r="R362" s="48">
        <v>2728.16</v>
      </c>
      <c r="S362" s="3">
        <v>0</v>
      </c>
      <c r="T362" s="3">
        <f t="shared" si="131"/>
        <v>2728.16</v>
      </c>
      <c r="U362" s="3">
        <f t="shared" si="132"/>
        <v>-271.84000000000015</v>
      </c>
      <c r="V362" s="3">
        <f t="shared" si="133"/>
        <v>-271.84000000000015</v>
      </c>
      <c r="W362" s="3">
        <v>0</v>
      </c>
      <c r="X362" s="3">
        <f t="shared" si="136"/>
        <v>-3000</v>
      </c>
      <c r="Y362" s="10">
        <f t="shared" si="137"/>
        <v>-1</v>
      </c>
      <c r="Z362" s="57" t="s">
        <v>433</v>
      </c>
      <c r="AA362" s="4"/>
      <c r="AB362" s="5"/>
      <c r="AC362" s="5"/>
      <c r="AD362" s="5"/>
      <c r="AE362" s="5"/>
    </row>
    <row r="363" spans="1:31" ht="15.75" customHeight="1" x14ac:dyDescent="0.25">
      <c r="A363" s="5" t="s">
        <v>316</v>
      </c>
      <c r="B363" s="3">
        <v>1500</v>
      </c>
      <c r="C363" s="3">
        <v>1500</v>
      </c>
      <c r="D363" s="3">
        <v>1500</v>
      </c>
      <c r="E363" s="3">
        <v>750</v>
      </c>
      <c r="F363" s="3">
        <v>1500</v>
      </c>
      <c r="G363" s="3">
        <v>1500</v>
      </c>
      <c r="H363" s="3">
        <v>1500</v>
      </c>
      <c r="I363" s="3">
        <v>1500</v>
      </c>
      <c r="J363" s="3">
        <v>1500</v>
      </c>
      <c r="K363" s="3">
        <v>1500</v>
      </c>
      <c r="L363" s="3">
        <v>1500</v>
      </c>
      <c r="M363" s="3">
        <v>1500</v>
      </c>
      <c r="N363" s="3">
        <v>1500</v>
      </c>
      <c r="O363" s="42">
        <v>2000</v>
      </c>
      <c r="P363" s="3">
        <v>2000</v>
      </c>
      <c r="Q363" s="42">
        <v>2000</v>
      </c>
      <c r="R363" s="48">
        <v>2000</v>
      </c>
      <c r="S363" s="3">
        <v>0</v>
      </c>
      <c r="T363" s="3">
        <f t="shared" si="131"/>
        <v>2000</v>
      </c>
      <c r="U363" s="3">
        <f t="shared" si="132"/>
        <v>0</v>
      </c>
      <c r="V363" s="3">
        <f t="shared" si="133"/>
        <v>0</v>
      </c>
      <c r="W363" s="3">
        <v>2000</v>
      </c>
      <c r="X363" s="3">
        <f t="shared" si="136"/>
        <v>0</v>
      </c>
      <c r="Y363" s="10">
        <f t="shared" si="137"/>
        <v>0</v>
      </c>
      <c r="Z363" s="4"/>
      <c r="AA363" s="4"/>
      <c r="AB363" s="5"/>
      <c r="AC363" s="5"/>
      <c r="AD363" s="5"/>
      <c r="AE363" s="5"/>
    </row>
    <row r="364" spans="1:31" ht="15.75" customHeight="1" x14ac:dyDescent="0.25">
      <c r="A364" s="5" t="s">
        <v>317</v>
      </c>
      <c r="B364" s="3">
        <v>4970</v>
      </c>
      <c r="C364" s="3">
        <v>4694</v>
      </c>
      <c r="D364" s="3">
        <v>4305</v>
      </c>
      <c r="E364" s="3">
        <v>4586.1000000000004</v>
      </c>
      <c r="F364" s="3">
        <v>3222.5</v>
      </c>
      <c r="G364" s="3">
        <v>4405</v>
      </c>
      <c r="H364" s="3">
        <v>3325.1</v>
      </c>
      <c r="I364" s="3">
        <v>4735</v>
      </c>
      <c r="J364" s="3"/>
      <c r="K364" s="3">
        <v>6395</v>
      </c>
      <c r="L364" s="3">
        <v>6760</v>
      </c>
      <c r="M364" s="3"/>
      <c r="N364" s="3"/>
      <c r="O364" s="42"/>
      <c r="P364" s="3"/>
      <c r="Q364" s="42"/>
      <c r="R364" s="48"/>
      <c r="S364" s="3"/>
      <c r="T364" s="3">
        <f t="shared" si="131"/>
        <v>0</v>
      </c>
      <c r="U364" s="3">
        <f t="shared" si="132"/>
        <v>0</v>
      </c>
      <c r="V364" s="3">
        <f t="shared" si="133"/>
        <v>0</v>
      </c>
      <c r="W364" s="3"/>
      <c r="X364" s="3">
        <f t="shared" si="136"/>
        <v>0</v>
      </c>
      <c r="Y364" s="10"/>
      <c r="Z364" s="4"/>
      <c r="AA364" s="4"/>
      <c r="AB364" s="5"/>
      <c r="AC364" s="5"/>
      <c r="AD364" s="5"/>
      <c r="AE364" s="5"/>
    </row>
    <row r="365" spans="1:31" ht="15.75" customHeight="1" x14ac:dyDescent="0.25">
      <c r="A365" s="5" t="s">
        <v>318</v>
      </c>
      <c r="B365" s="3">
        <v>5281</v>
      </c>
      <c r="C365" s="3">
        <v>3870</v>
      </c>
      <c r="D365" s="3">
        <v>4020</v>
      </c>
      <c r="E365" s="3">
        <v>3564.97</v>
      </c>
      <c r="F365" s="3">
        <v>2245</v>
      </c>
      <c r="G365" s="3"/>
      <c r="H365" s="3"/>
      <c r="I365" s="3"/>
      <c r="J365" s="3">
        <v>1970</v>
      </c>
      <c r="K365" s="3"/>
      <c r="L365" s="3"/>
      <c r="M365" s="3">
        <v>3243</v>
      </c>
      <c r="N365" s="3">
        <v>1320</v>
      </c>
      <c r="O365" s="42">
        <v>1620</v>
      </c>
      <c r="P365" s="3">
        <v>1320</v>
      </c>
      <c r="Q365" s="42">
        <v>1320</v>
      </c>
      <c r="R365" s="48">
        <v>540</v>
      </c>
      <c r="S365" s="3">
        <v>0</v>
      </c>
      <c r="T365" s="3">
        <f t="shared" si="131"/>
        <v>540</v>
      </c>
      <c r="U365" s="3">
        <f t="shared" si="132"/>
        <v>-780</v>
      </c>
      <c r="V365" s="3">
        <f t="shared" si="133"/>
        <v>-780</v>
      </c>
      <c r="W365" s="3">
        <v>500</v>
      </c>
      <c r="X365" s="3">
        <f t="shared" si="136"/>
        <v>-820</v>
      </c>
      <c r="Y365" s="10">
        <f>+X365/P365</f>
        <v>-0.62121212121212122</v>
      </c>
      <c r="Z365" s="57" t="s">
        <v>434</v>
      </c>
      <c r="AA365" s="4"/>
      <c r="AB365" s="5"/>
      <c r="AC365" s="5"/>
      <c r="AD365" s="5"/>
      <c r="AE365" s="5"/>
    </row>
    <row r="366" spans="1:31" ht="15.75" customHeight="1" x14ac:dyDescent="0.25">
      <c r="A366" s="5" t="s">
        <v>319</v>
      </c>
      <c r="B366" s="3">
        <v>850</v>
      </c>
      <c r="C366" s="3">
        <v>400</v>
      </c>
      <c r="D366" s="3">
        <v>125</v>
      </c>
      <c r="E366" s="3">
        <v>825</v>
      </c>
      <c r="F366" s="3">
        <v>250</v>
      </c>
      <c r="G366" s="3">
        <v>925</v>
      </c>
      <c r="H366" s="3">
        <v>725</v>
      </c>
      <c r="I366" s="3">
        <v>650</v>
      </c>
      <c r="J366" s="3"/>
      <c r="K366" s="3">
        <v>525</v>
      </c>
      <c r="L366" s="3">
        <v>1025</v>
      </c>
      <c r="M366" s="3">
        <v>1000</v>
      </c>
      <c r="N366" s="3">
        <v>1250</v>
      </c>
      <c r="O366" s="42">
        <v>1000</v>
      </c>
      <c r="P366" s="3">
        <v>1000</v>
      </c>
      <c r="Q366" s="42">
        <v>1000</v>
      </c>
      <c r="R366" s="48">
        <v>850</v>
      </c>
      <c r="S366" s="3">
        <v>150</v>
      </c>
      <c r="T366" s="3">
        <f t="shared" si="131"/>
        <v>1000</v>
      </c>
      <c r="U366" s="3">
        <f t="shared" si="132"/>
        <v>0</v>
      </c>
      <c r="V366" s="3">
        <f t="shared" si="133"/>
        <v>0</v>
      </c>
      <c r="W366" s="3">
        <v>1000</v>
      </c>
      <c r="X366" s="3">
        <f t="shared" si="136"/>
        <v>0</v>
      </c>
      <c r="Y366" s="10">
        <f>+X366/P366</f>
        <v>0</v>
      </c>
      <c r="Z366" s="4"/>
      <c r="AA366" s="4"/>
      <c r="AB366" s="5"/>
      <c r="AC366" s="5"/>
      <c r="AD366" s="5"/>
      <c r="AE366" s="5"/>
    </row>
    <row r="367" spans="1:31" ht="15.75" customHeight="1" x14ac:dyDescent="0.25">
      <c r="A367" s="5" t="s">
        <v>320</v>
      </c>
      <c r="B367" s="3">
        <v>800</v>
      </c>
      <c r="C367" s="3">
        <v>400</v>
      </c>
      <c r="D367" s="3">
        <v>500</v>
      </c>
      <c r="E367" s="3">
        <v>700</v>
      </c>
      <c r="F367" s="3">
        <v>480</v>
      </c>
      <c r="G367" s="3">
        <v>600</v>
      </c>
      <c r="H367" s="3">
        <v>718.58</v>
      </c>
      <c r="I367" s="3">
        <v>750</v>
      </c>
      <c r="J367" s="3">
        <v>975</v>
      </c>
      <c r="K367" s="3">
        <v>400</v>
      </c>
      <c r="L367" s="3">
        <v>700</v>
      </c>
      <c r="M367" s="3">
        <v>1200</v>
      </c>
      <c r="N367" s="3">
        <v>500</v>
      </c>
      <c r="O367" s="42">
        <v>400</v>
      </c>
      <c r="P367" s="3">
        <v>500</v>
      </c>
      <c r="Q367" s="42">
        <v>500</v>
      </c>
      <c r="R367" s="48">
        <v>0</v>
      </c>
      <c r="S367" s="3">
        <v>150</v>
      </c>
      <c r="T367" s="3">
        <f t="shared" si="131"/>
        <v>150</v>
      </c>
      <c r="U367" s="3">
        <f t="shared" si="132"/>
        <v>-350</v>
      </c>
      <c r="V367" s="3">
        <f t="shared" si="133"/>
        <v>-350</v>
      </c>
      <c r="W367" s="3">
        <v>0</v>
      </c>
      <c r="X367" s="3">
        <f t="shared" si="136"/>
        <v>-500</v>
      </c>
      <c r="Y367" s="10">
        <f>+X367/P367</f>
        <v>-1</v>
      </c>
      <c r="Z367" s="4"/>
      <c r="AA367" s="4"/>
      <c r="AB367" s="5"/>
      <c r="AC367" s="5"/>
      <c r="AD367" s="5"/>
      <c r="AE367" s="5"/>
    </row>
    <row r="368" spans="1:31" ht="15.75" customHeight="1" x14ac:dyDescent="0.25">
      <c r="A368" s="5" t="s">
        <v>321</v>
      </c>
      <c r="B368" s="3">
        <v>3708</v>
      </c>
      <c r="C368" s="3">
        <v>2472</v>
      </c>
      <c r="D368" s="3">
        <v>3708</v>
      </c>
      <c r="E368" s="3">
        <v>3708</v>
      </c>
      <c r="F368" s="3">
        <v>3646.2</v>
      </c>
      <c r="G368" s="3">
        <v>3708</v>
      </c>
      <c r="H368" s="3">
        <v>3708</v>
      </c>
      <c r="I368" s="3">
        <v>3708</v>
      </c>
      <c r="J368" s="3">
        <v>3708</v>
      </c>
      <c r="K368" s="3">
        <v>3708</v>
      </c>
      <c r="L368" s="3">
        <v>3706</v>
      </c>
      <c r="M368" s="3">
        <v>3710</v>
      </c>
      <c r="N368" s="3">
        <v>1854</v>
      </c>
      <c r="O368" s="42">
        <v>3736</v>
      </c>
      <c r="P368" s="3">
        <v>3700</v>
      </c>
      <c r="Q368" s="42">
        <v>3700</v>
      </c>
      <c r="R368" s="48">
        <v>3870</v>
      </c>
      <c r="S368" s="3">
        <v>0</v>
      </c>
      <c r="T368" s="3">
        <f t="shared" si="131"/>
        <v>3870</v>
      </c>
      <c r="U368" s="3">
        <f t="shared" si="132"/>
        <v>170</v>
      </c>
      <c r="V368" s="3">
        <f t="shared" si="133"/>
        <v>170</v>
      </c>
      <c r="W368" s="3">
        <v>3700</v>
      </c>
      <c r="X368" s="3">
        <f t="shared" si="136"/>
        <v>0</v>
      </c>
      <c r="Y368" s="10">
        <f>+X368/P368</f>
        <v>0</v>
      </c>
      <c r="Z368" s="4"/>
      <c r="AA368" s="4"/>
      <c r="AB368" s="5"/>
      <c r="AC368" s="5"/>
      <c r="AD368" s="5"/>
      <c r="AE368" s="5"/>
    </row>
    <row r="369" spans="1:31" ht="15.75" hidden="1" customHeight="1" x14ac:dyDescent="0.25">
      <c r="A369" s="5" t="s">
        <v>322</v>
      </c>
      <c r="B369" s="3"/>
      <c r="C369" s="3"/>
      <c r="D369" s="3"/>
      <c r="E369" s="3">
        <v>4782</v>
      </c>
      <c r="F369" s="3"/>
      <c r="G369" s="3"/>
      <c r="H369" s="3"/>
      <c r="I369" s="3"/>
      <c r="J369" s="3"/>
      <c r="K369" s="3"/>
      <c r="L369" s="3"/>
      <c r="M369" s="3"/>
      <c r="N369" s="3"/>
      <c r="O369" s="42"/>
      <c r="P369" s="3"/>
      <c r="Q369" s="42"/>
      <c r="R369" s="48"/>
      <c r="S369" s="3"/>
      <c r="T369" s="3">
        <f t="shared" si="131"/>
        <v>0</v>
      </c>
      <c r="U369" s="3">
        <f t="shared" si="132"/>
        <v>0</v>
      </c>
      <c r="V369" s="3">
        <f t="shared" si="133"/>
        <v>0</v>
      </c>
      <c r="W369" s="3"/>
      <c r="X369" s="3">
        <f t="shared" si="136"/>
        <v>0</v>
      </c>
      <c r="Y369" s="10"/>
      <c r="Z369" s="4"/>
      <c r="AA369" s="4"/>
      <c r="AB369" s="5"/>
      <c r="AC369" s="5"/>
      <c r="AD369" s="5"/>
      <c r="AE369" s="5"/>
    </row>
    <row r="370" spans="1:31" ht="15.75" customHeight="1" x14ac:dyDescent="0.25">
      <c r="A370" s="5" t="s">
        <v>323</v>
      </c>
      <c r="B370" s="3">
        <v>16200</v>
      </c>
      <c r="C370" s="3">
        <v>16500</v>
      </c>
      <c r="D370" s="3">
        <v>16500</v>
      </c>
      <c r="E370" s="3">
        <v>16500</v>
      </c>
      <c r="F370" s="3">
        <v>17000</v>
      </c>
      <c r="G370" s="3">
        <v>17000</v>
      </c>
      <c r="H370" s="3">
        <v>17000</v>
      </c>
      <c r="I370" s="3">
        <v>17000</v>
      </c>
      <c r="J370" s="3">
        <v>17000</v>
      </c>
      <c r="K370" s="3">
        <v>17000</v>
      </c>
      <c r="L370" s="3">
        <v>25000</v>
      </c>
      <c r="M370" s="3">
        <v>25000</v>
      </c>
      <c r="N370" s="3">
        <v>25000</v>
      </c>
      <c r="O370" s="42">
        <v>25000</v>
      </c>
      <c r="P370" s="3">
        <v>25000</v>
      </c>
      <c r="Q370" s="42">
        <v>25000</v>
      </c>
      <c r="R370" s="48">
        <v>25000</v>
      </c>
      <c r="S370" s="3">
        <v>0</v>
      </c>
      <c r="T370" s="3">
        <f t="shared" si="131"/>
        <v>25000</v>
      </c>
      <c r="U370" s="3">
        <f t="shared" si="132"/>
        <v>0</v>
      </c>
      <c r="V370" s="3">
        <f t="shared" si="133"/>
        <v>0</v>
      </c>
      <c r="W370" s="3">
        <v>25000</v>
      </c>
      <c r="X370" s="3">
        <f t="shared" si="136"/>
        <v>0</v>
      </c>
      <c r="Y370" s="10">
        <f>+X370/P370</f>
        <v>0</v>
      </c>
      <c r="Z370" s="4"/>
      <c r="AA370" s="4"/>
      <c r="AB370" s="5"/>
      <c r="AC370" s="5"/>
      <c r="AD370" s="5"/>
      <c r="AE370" s="5"/>
    </row>
    <row r="371" spans="1:31" ht="15.75" customHeight="1" x14ac:dyDescent="0.25">
      <c r="A371" s="8" t="s">
        <v>344</v>
      </c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42"/>
      <c r="P371" s="3"/>
      <c r="Q371" s="42"/>
      <c r="R371" s="48"/>
      <c r="S371" s="25"/>
      <c r="T371" s="3"/>
      <c r="U371" s="3"/>
      <c r="V371" s="3"/>
      <c r="W371" s="3"/>
      <c r="X371" s="3">
        <f>+W371-P371</f>
        <v>0</v>
      </c>
      <c r="Y371" s="10"/>
      <c r="Z371" s="4"/>
      <c r="AA371" s="4"/>
      <c r="AB371" s="5"/>
      <c r="AC371" s="5"/>
      <c r="AD371" s="5"/>
      <c r="AE371" s="5"/>
    </row>
    <row r="372" spans="1:31" ht="15.75" customHeight="1" x14ac:dyDescent="0.25">
      <c r="A372" s="5" t="s">
        <v>324</v>
      </c>
      <c r="B372" s="3">
        <v>2800</v>
      </c>
      <c r="C372" s="3">
        <v>3955</v>
      </c>
      <c r="D372" s="3">
        <v>3465</v>
      </c>
      <c r="E372" s="3">
        <v>2380</v>
      </c>
      <c r="F372" s="3">
        <v>385</v>
      </c>
      <c r="G372" s="3">
        <v>315</v>
      </c>
      <c r="H372" s="3">
        <v>630</v>
      </c>
      <c r="I372" s="3">
        <v>280</v>
      </c>
      <c r="J372" s="3">
        <v>560</v>
      </c>
      <c r="K372" s="3">
        <v>1690</v>
      </c>
      <c r="L372" s="3">
        <v>560</v>
      </c>
      <c r="M372" s="3">
        <v>2485</v>
      </c>
      <c r="N372" s="3">
        <v>2025</v>
      </c>
      <c r="O372" s="42">
        <v>3655</v>
      </c>
      <c r="P372" s="3">
        <v>1000</v>
      </c>
      <c r="Q372" s="42">
        <v>1000</v>
      </c>
      <c r="R372" s="48">
        <v>1050</v>
      </c>
      <c r="S372" s="3">
        <v>2605</v>
      </c>
      <c r="T372" s="3">
        <f t="shared" si="131"/>
        <v>3655</v>
      </c>
      <c r="U372" s="3">
        <f t="shared" si="132"/>
        <v>2655</v>
      </c>
      <c r="V372" s="3">
        <f t="shared" si="133"/>
        <v>2655</v>
      </c>
      <c r="W372" s="3">
        <v>1000</v>
      </c>
      <c r="X372" s="3">
        <f t="shared" si="136"/>
        <v>0</v>
      </c>
      <c r="Y372" s="10">
        <f>+X372/P372</f>
        <v>0</v>
      </c>
      <c r="Z372" s="57"/>
      <c r="AA372" s="4"/>
      <c r="AB372" s="5"/>
      <c r="AC372" s="5"/>
      <c r="AD372" s="5"/>
      <c r="AE372" s="5"/>
    </row>
    <row r="373" spans="1:31" ht="15.75" customHeight="1" x14ac:dyDescent="0.25">
      <c r="A373" s="5" t="s">
        <v>325</v>
      </c>
      <c r="B373" s="3">
        <v>28620</v>
      </c>
      <c r="C373" s="3">
        <v>25758</v>
      </c>
      <c r="D373" s="3">
        <v>26000</v>
      </c>
      <c r="E373" s="3">
        <v>26000</v>
      </c>
      <c r="F373" s="3">
        <v>26000</v>
      </c>
      <c r="G373" s="3">
        <v>27000</v>
      </c>
      <c r="H373" s="3">
        <v>28793</v>
      </c>
      <c r="I373" s="3">
        <v>27000</v>
      </c>
      <c r="J373" s="3">
        <v>27500</v>
      </c>
      <c r="K373" s="3"/>
      <c r="L373" s="3">
        <v>28000</v>
      </c>
      <c r="M373" s="3">
        <v>28000</v>
      </c>
      <c r="N373" s="3">
        <v>28560</v>
      </c>
      <c r="O373" s="42">
        <v>29130</v>
      </c>
      <c r="P373" s="3">
        <v>29130</v>
      </c>
      <c r="Q373" s="42">
        <v>29130</v>
      </c>
      <c r="R373" s="48">
        <v>31130</v>
      </c>
      <c r="S373" s="3">
        <v>0</v>
      </c>
      <c r="T373" s="3">
        <f t="shared" si="131"/>
        <v>31130</v>
      </c>
      <c r="U373" s="3">
        <f t="shared" si="132"/>
        <v>2000</v>
      </c>
      <c r="V373" s="3">
        <f t="shared" si="133"/>
        <v>2000</v>
      </c>
      <c r="W373" s="3">
        <v>31130</v>
      </c>
      <c r="X373" s="3">
        <f t="shared" si="136"/>
        <v>2000</v>
      </c>
      <c r="Y373" s="10">
        <f>+X373/P373</f>
        <v>6.8657741160315824E-2</v>
      </c>
      <c r="Z373" s="57" t="s">
        <v>442</v>
      </c>
      <c r="AA373" s="4"/>
      <c r="AB373" s="5"/>
      <c r="AC373" s="5"/>
      <c r="AD373" s="5"/>
      <c r="AE373" s="5"/>
    </row>
    <row r="374" spans="1:31" ht="15.75" hidden="1" customHeight="1" x14ac:dyDescent="0.25">
      <c r="A374" s="5" t="s">
        <v>326</v>
      </c>
      <c r="B374" s="3">
        <v>24000</v>
      </c>
      <c r="C374" s="3">
        <v>25800</v>
      </c>
      <c r="D374" s="3">
        <v>25800</v>
      </c>
      <c r="E374" s="3">
        <v>23650</v>
      </c>
      <c r="F374" s="3">
        <v>25800</v>
      </c>
      <c r="G374" s="3">
        <v>25800</v>
      </c>
      <c r="H374" s="3">
        <v>25800</v>
      </c>
      <c r="I374" s="3">
        <v>4300</v>
      </c>
      <c r="J374" s="3"/>
      <c r="K374" s="3"/>
      <c r="L374" s="3"/>
      <c r="M374" s="3"/>
      <c r="N374" s="3"/>
      <c r="O374" s="42"/>
      <c r="P374" s="3"/>
      <c r="Q374" s="42"/>
      <c r="R374" s="48"/>
      <c r="S374" s="3"/>
      <c r="T374" s="3">
        <f t="shared" si="131"/>
        <v>0</v>
      </c>
      <c r="U374" s="3">
        <f t="shared" si="132"/>
        <v>0</v>
      </c>
      <c r="V374" s="3">
        <f t="shared" si="133"/>
        <v>0</v>
      </c>
      <c r="W374" s="3"/>
      <c r="X374" s="3">
        <f t="shared" si="136"/>
        <v>0</v>
      </c>
      <c r="Y374" s="10"/>
      <c r="Z374" s="4"/>
      <c r="AA374" s="4"/>
      <c r="AB374" s="5"/>
      <c r="AC374" s="5"/>
      <c r="AD374" s="5"/>
      <c r="AE374" s="5"/>
    </row>
    <row r="375" spans="1:31" ht="15.75" hidden="1" customHeight="1" x14ac:dyDescent="0.25">
      <c r="A375" s="5" t="s">
        <v>327</v>
      </c>
      <c r="B375" s="3">
        <v>14184.65</v>
      </c>
      <c r="C375" s="3">
        <v>11500</v>
      </c>
      <c r="D375" s="3">
        <v>10062.959999999999</v>
      </c>
      <c r="E375" s="3">
        <v>8669.06</v>
      </c>
      <c r="F375" s="3">
        <v>5696.37</v>
      </c>
      <c r="G375" s="3">
        <v>5237.3599999999997</v>
      </c>
      <c r="H375" s="3">
        <v>16780.12</v>
      </c>
      <c r="I375" s="3"/>
      <c r="J375" s="3">
        <v>318.89999999999998</v>
      </c>
      <c r="K375" s="3"/>
      <c r="L375" s="3"/>
      <c r="M375" s="3"/>
      <c r="N375" s="3"/>
      <c r="O375" s="42"/>
      <c r="P375" s="3"/>
      <c r="Q375" s="42"/>
      <c r="R375" s="48"/>
      <c r="S375" s="3"/>
      <c r="T375" s="3">
        <f t="shared" si="131"/>
        <v>0</v>
      </c>
      <c r="U375" s="3">
        <f t="shared" si="132"/>
        <v>0</v>
      </c>
      <c r="V375" s="3">
        <f t="shared" si="133"/>
        <v>0</v>
      </c>
      <c r="W375" s="3"/>
      <c r="X375" s="3">
        <f t="shared" si="136"/>
        <v>0</v>
      </c>
      <c r="Y375" s="10"/>
      <c r="Z375" s="4"/>
      <c r="AA375" s="4"/>
      <c r="AB375" s="5"/>
      <c r="AC375" s="5"/>
      <c r="AD375" s="5"/>
      <c r="AE375" s="5"/>
    </row>
    <row r="376" spans="1:31" ht="15.75" customHeight="1" x14ac:dyDescent="0.25">
      <c r="A376" s="5" t="s">
        <v>328</v>
      </c>
      <c r="B376" s="3">
        <v>4205.8500000000004</v>
      </c>
      <c r="C376" s="3">
        <v>5446.25</v>
      </c>
      <c r="D376" s="3">
        <v>4162.0600000000004</v>
      </c>
      <c r="E376" s="3">
        <v>4255.91</v>
      </c>
      <c r="F376" s="3">
        <v>3291.09</v>
      </c>
      <c r="G376" s="3">
        <v>3379.36</v>
      </c>
      <c r="H376" s="3">
        <v>2987.45</v>
      </c>
      <c r="I376" s="3">
        <v>3625.83</v>
      </c>
      <c r="J376" s="3">
        <v>3650.43</v>
      </c>
      <c r="K376" s="3">
        <v>2819.5</v>
      </c>
      <c r="L376" s="3">
        <v>5512.26</v>
      </c>
      <c r="M376" s="3">
        <v>5961.18</v>
      </c>
      <c r="N376" s="3">
        <v>6475</v>
      </c>
      <c r="O376" s="42">
        <v>11705.45</v>
      </c>
      <c r="P376" s="3">
        <v>6700</v>
      </c>
      <c r="Q376" s="42">
        <v>6700</v>
      </c>
      <c r="R376" s="48">
        <v>3581.35</v>
      </c>
      <c r="S376" s="60">
        <v>1600</v>
      </c>
      <c r="T376" s="3">
        <f t="shared" si="131"/>
        <v>5181.3500000000004</v>
      </c>
      <c r="U376" s="3">
        <f t="shared" si="132"/>
        <v>-1518.6499999999996</v>
      </c>
      <c r="V376" s="3">
        <f t="shared" si="133"/>
        <v>-1518.6499999999996</v>
      </c>
      <c r="W376" s="3">
        <v>6700</v>
      </c>
      <c r="X376" s="3">
        <f t="shared" si="136"/>
        <v>0</v>
      </c>
      <c r="Y376" s="10">
        <f t="shared" ref="Y376:Y382" si="138">+X376/P376</f>
        <v>0</v>
      </c>
      <c r="Z376" s="4" t="s">
        <v>306</v>
      </c>
      <c r="AA376" s="4"/>
      <c r="AB376" s="5"/>
      <c r="AC376" s="5"/>
      <c r="AD376" s="5"/>
      <c r="AE376" s="5"/>
    </row>
    <row r="377" spans="1:31" ht="15.75" customHeight="1" x14ac:dyDescent="0.25">
      <c r="A377" s="5" t="s">
        <v>329</v>
      </c>
      <c r="B377" s="3"/>
      <c r="C377" s="3"/>
      <c r="D377" s="3"/>
      <c r="E377" s="3"/>
      <c r="F377" s="3"/>
      <c r="G377" s="3"/>
      <c r="H377" s="3"/>
      <c r="I377" s="3">
        <v>52152.14</v>
      </c>
      <c r="J377" s="3">
        <v>32656.74</v>
      </c>
      <c r="K377" s="3">
        <v>35916.410000000003</v>
      </c>
      <c r="L377" s="3">
        <v>56027.98</v>
      </c>
      <c r="M377" s="3">
        <v>61941.54</v>
      </c>
      <c r="N377" s="3">
        <v>86187</v>
      </c>
      <c r="O377" s="42">
        <v>106721.35</v>
      </c>
      <c r="P377" s="3">
        <v>116000</v>
      </c>
      <c r="Q377" s="42">
        <v>116000</v>
      </c>
      <c r="R377" s="48">
        <v>35382</v>
      </c>
      <c r="S377" s="3">
        <f>+Q377-R377</f>
        <v>80618</v>
      </c>
      <c r="T377" s="3">
        <f t="shared" si="131"/>
        <v>116000</v>
      </c>
      <c r="U377" s="3">
        <f t="shared" si="132"/>
        <v>0</v>
      </c>
      <c r="V377" s="3">
        <f t="shared" si="133"/>
        <v>0</v>
      </c>
      <c r="W377" s="3">
        <v>119480</v>
      </c>
      <c r="X377" s="3">
        <f t="shared" si="136"/>
        <v>3480</v>
      </c>
      <c r="Y377" s="10">
        <f t="shared" si="138"/>
        <v>0.03</v>
      </c>
      <c r="Z377" s="57"/>
      <c r="AA377" s="4"/>
      <c r="AB377" s="5"/>
      <c r="AC377" s="5"/>
      <c r="AD377" s="5"/>
      <c r="AE377" s="5"/>
    </row>
    <row r="378" spans="1:31" ht="15.75" customHeight="1" x14ac:dyDescent="0.25">
      <c r="A378" s="5" t="s">
        <v>330</v>
      </c>
      <c r="B378" s="3">
        <v>16005.75</v>
      </c>
      <c r="C378" s="3">
        <v>13916</v>
      </c>
      <c r="D378" s="3">
        <v>19076.75</v>
      </c>
      <c r="E378" s="3">
        <v>15957.65</v>
      </c>
      <c r="F378" s="3">
        <v>7647.82</v>
      </c>
      <c r="G378" s="3">
        <v>7455.74</v>
      </c>
      <c r="H378" s="3">
        <v>16132</v>
      </c>
      <c r="I378" s="3">
        <v>15771.27</v>
      </c>
      <c r="J378" s="3">
        <v>9606.5499999999993</v>
      </c>
      <c r="K378" s="3">
        <v>11319.4</v>
      </c>
      <c r="L378" s="3">
        <v>16838.98</v>
      </c>
      <c r="M378" s="3">
        <v>13187.7</v>
      </c>
      <c r="N378" s="3">
        <v>14673</v>
      </c>
      <c r="O378" s="42">
        <v>13665.09</v>
      </c>
      <c r="P378" s="3">
        <v>14000</v>
      </c>
      <c r="Q378" s="42">
        <v>14000</v>
      </c>
      <c r="R378" s="48">
        <v>8568.8700000000008</v>
      </c>
      <c r="S378" s="3">
        <v>2697</v>
      </c>
      <c r="T378" s="3">
        <f t="shared" si="131"/>
        <v>11265.87</v>
      </c>
      <c r="U378" s="3">
        <f t="shared" si="132"/>
        <v>-2734.1299999999992</v>
      </c>
      <c r="V378" s="3">
        <f t="shared" si="133"/>
        <v>-2734.1299999999992</v>
      </c>
      <c r="W378" s="3">
        <v>14000</v>
      </c>
      <c r="X378" s="3">
        <f t="shared" si="136"/>
        <v>0</v>
      </c>
      <c r="Y378" s="10">
        <f t="shared" si="138"/>
        <v>0</v>
      </c>
      <c r="Z378" s="4"/>
      <c r="AA378" s="4"/>
      <c r="AB378" s="5"/>
      <c r="AC378" s="5"/>
      <c r="AD378" s="5"/>
      <c r="AE378" s="5"/>
    </row>
    <row r="379" spans="1:31" ht="15.75" customHeight="1" x14ac:dyDescent="0.25">
      <c r="A379" s="5" t="s">
        <v>439</v>
      </c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42"/>
      <c r="P379" s="3"/>
      <c r="Q379" s="42"/>
      <c r="R379" s="48"/>
      <c r="S379" s="3"/>
      <c r="T379" s="3"/>
      <c r="U379" s="3"/>
      <c r="V379" s="3"/>
      <c r="W379" s="3">
        <v>15000</v>
      </c>
      <c r="X379" s="3">
        <f t="shared" ref="X379" si="139">+W379-P379</f>
        <v>15000</v>
      </c>
      <c r="Y379" s="10"/>
      <c r="Z379" s="4" t="s">
        <v>440</v>
      </c>
      <c r="AA379" s="4"/>
      <c r="AB379" s="5"/>
      <c r="AC379" s="5"/>
      <c r="AD379" s="5"/>
      <c r="AE379" s="5"/>
    </row>
    <row r="380" spans="1:31" ht="15.75" customHeight="1" x14ac:dyDescent="0.25">
      <c r="A380" s="5" t="s">
        <v>447</v>
      </c>
      <c r="B380" s="3">
        <v>8684.81</v>
      </c>
      <c r="C380" s="3">
        <v>11541</v>
      </c>
      <c r="D380" s="3">
        <v>5655.3</v>
      </c>
      <c r="E380" s="3">
        <v>6415.94</v>
      </c>
      <c r="F380" s="3">
        <v>7958.57</v>
      </c>
      <c r="G380" s="3">
        <v>9481.93</v>
      </c>
      <c r="H380" s="3">
        <v>6601.53</v>
      </c>
      <c r="I380" s="3">
        <v>9207.0499999999993</v>
      </c>
      <c r="J380" s="3">
        <v>6194.41</v>
      </c>
      <c r="K380" s="3">
        <v>7564.85</v>
      </c>
      <c r="L380" s="3">
        <v>7459.49</v>
      </c>
      <c r="M380" s="3">
        <v>7947.53</v>
      </c>
      <c r="N380" s="3">
        <v>9226</v>
      </c>
      <c r="O380" s="42">
        <v>8932.08</v>
      </c>
      <c r="P380" s="3">
        <v>16000</v>
      </c>
      <c r="Q380" s="42">
        <v>16000</v>
      </c>
      <c r="R380" s="48">
        <v>3315.58</v>
      </c>
      <c r="S380" s="3">
        <f>16466-R380</f>
        <v>13150.42</v>
      </c>
      <c r="T380" s="3">
        <f t="shared" si="131"/>
        <v>16466</v>
      </c>
      <c r="U380" s="3">
        <f t="shared" si="132"/>
        <v>466</v>
      </c>
      <c r="V380" s="3">
        <f t="shared" si="133"/>
        <v>466</v>
      </c>
      <c r="W380" s="3">
        <v>16000</v>
      </c>
      <c r="X380" s="3">
        <f t="shared" si="136"/>
        <v>0</v>
      </c>
      <c r="Y380" s="10">
        <f t="shared" si="138"/>
        <v>0</v>
      </c>
      <c r="Z380" s="4" t="s">
        <v>306</v>
      </c>
      <c r="AA380" s="4"/>
      <c r="AB380" s="5"/>
      <c r="AC380" s="5"/>
      <c r="AD380" s="5"/>
      <c r="AE380" s="5"/>
    </row>
    <row r="381" spans="1:31" ht="15.75" customHeight="1" x14ac:dyDescent="0.25">
      <c r="A381" s="5" t="s">
        <v>331</v>
      </c>
      <c r="B381" s="3">
        <v>6496.14</v>
      </c>
      <c r="C381" s="3">
        <v>4102</v>
      </c>
      <c r="D381" s="3">
        <v>5411.25</v>
      </c>
      <c r="E381" s="3">
        <v>4718.37</v>
      </c>
      <c r="F381" s="3">
        <v>4096.62</v>
      </c>
      <c r="G381" s="3">
        <v>4748.22</v>
      </c>
      <c r="H381" s="3">
        <v>4620.8599999999997</v>
      </c>
      <c r="I381" s="3">
        <v>4395.2</v>
      </c>
      <c r="J381" s="3">
        <v>4129.63</v>
      </c>
      <c r="K381" s="3">
        <v>4798.95</v>
      </c>
      <c r="L381" s="3">
        <v>4801.5200000000004</v>
      </c>
      <c r="M381" s="3">
        <v>12887.13</v>
      </c>
      <c r="N381" s="3">
        <v>5442</v>
      </c>
      <c r="O381" s="42">
        <v>6301.07</v>
      </c>
      <c r="P381" s="3">
        <v>5400</v>
      </c>
      <c r="Q381" s="42">
        <v>5400</v>
      </c>
      <c r="R381" s="48">
        <v>3316</v>
      </c>
      <c r="S381" s="3">
        <v>2602</v>
      </c>
      <c r="T381" s="3">
        <f t="shared" si="131"/>
        <v>5918</v>
      </c>
      <c r="U381" s="3">
        <f t="shared" si="132"/>
        <v>518</v>
      </c>
      <c r="V381" s="3">
        <f t="shared" si="133"/>
        <v>518</v>
      </c>
      <c r="W381" s="3">
        <v>5400</v>
      </c>
      <c r="X381" s="3">
        <f t="shared" si="136"/>
        <v>0</v>
      </c>
      <c r="Y381" s="10">
        <f t="shared" si="138"/>
        <v>0</v>
      </c>
      <c r="Z381" s="4"/>
      <c r="AA381" s="4"/>
      <c r="AB381" s="5"/>
      <c r="AC381" s="5"/>
      <c r="AD381" s="5"/>
      <c r="AE381" s="5"/>
    </row>
    <row r="382" spans="1:31" ht="15.75" customHeight="1" x14ac:dyDescent="0.25">
      <c r="A382" s="5" t="s">
        <v>332</v>
      </c>
      <c r="B382" s="3">
        <v>7233.63</v>
      </c>
      <c r="C382" s="3">
        <v>6291</v>
      </c>
      <c r="D382" s="3">
        <v>3486.04</v>
      </c>
      <c r="E382" s="3">
        <v>1199.4000000000001</v>
      </c>
      <c r="F382" s="3">
        <v>1569.9</v>
      </c>
      <c r="G382" s="3">
        <v>1777.43</v>
      </c>
      <c r="H382" s="3">
        <v>1751.03</v>
      </c>
      <c r="I382" s="3">
        <v>1730.76</v>
      </c>
      <c r="J382" s="3">
        <v>1750.88</v>
      </c>
      <c r="K382" s="3">
        <v>908.12</v>
      </c>
      <c r="L382" s="3">
        <v>428.62</v>
      </c>
      <c r="M382" s="3">
        <v>3657.54</v>
      </c>
      <c r="N382" s="3">
        <v>38894</v>
      </c>
      <c r="O382" s="42">
        <v>26898.76</v>
      </c>
      <c r="P382" s="3">
        <v>35000</v>
      </c>
      <c r="Q382" s="42">
        <v>35000</v>
      </c>
      <c r="R382" s="48">
        <v>32187.93</v>
      </c>
      <c r="S382" s="3">
        <f>2100*4</f>
        <v>8400</v>
      </c>
      <c r="T382" s="3">
        <f t="shared" si="131"/>
        <v>40587.93</v>
      </c>
      <c r="U382" s="3">
        <f t="shared" si="132"/>
        <v>5587.93</v>
      </c>
      <c r="V382" s="3">
        <f t="shared" si="133"/>
        <v>5587.93</v>
      </c>
      <c r="W382" s="3">
        <v>35000</v>
      </c>
      <c r="X382" s="3">
        <f t="shared" ref="X382:X412" si="140">+W382-P382</f>
        <v>0</v>
      </c>
      <c r="Y382" s="10">
        <f t="shared" si="138"/>
        <v>0</v>
      </c>
      <c r="Z382" s="4"/>
      <c r="AA382" s="4"/>
      <c r="AB382" s="5"/>
      <c r="AC382" s="5"/>
      <c r="AD382" s="5"/>
      <c r="AE382" s="5"/>
    </row>
    <row r="383" spans="1:31" ht="15.75" customHeight="1" x14ac:dyDescent="0.25">
      <c r="A383" s="5" t="s">
        <v>333</v>
      </c>
      <c r="B383" s="3">
        <v>20.059999999999999</v>
      </c>
      <c r="C383" s="3">
        <v>17.559999999999999</v>
      </c>
      <c r="D383" s="3">
        <v>16.350000000000001</v>
      </c>
      <c r="E383" s="3">
        <v>14.56</v>
      </c>
      <c r="F383" s="3">
        <v>20.7</v>
      </c>
      <c r="G383" s="3">
        <v>13.72</v>
      </c>
      <c r="H383" s="3">
        <v>13.07</v>
      </c>
      <c r="I383" s="3"/>
      <c r="J383" s="3">
        <v>15.62</v>
      </c>
      <c r="K383" s="3">
        <v>5.46</v>
      </c>
      <c r="L383" s="3">
        <v>1.66</v>
      </c>
      <c r="M383" s="3">
        <v>0.24</v>
      </c>
      <c r="N383" s="3"/>
      <c r="O383" s="42"/>
      <c r="P383" s="3"/>
      <c r="Q383" s="42"/>
      <c r="R383" s="48"/>
      <c r="S383" s="3"/>
      <c r="T383" s="3">
        <f t="shared" si="131"/>
        <v>0</v>
      </c>
      <c r="U383" s="3">
        <f t="shared" si="132"/>
        <v>0</v>
      </c>
      <c r="V383" s="3">
        <f t="shared" si="133"/>
        <v>0</v>
      </c>
      <c r="W383" s="3"/>
      <c r="X383" s="3">
        <f t="shared" si="140"/>
        <v>0</v>
      </c>
      <c r="Y383" s="10"/>
      <c r="Z383" s="4"/>
      <c r="AA383" s="4"/>
      <c r="AB383" s="5"/>
      <c r="AC383" s="5"/>
      <c r="AD383" s="5"/>
      <c r="AE383" s="5"/>
    </row>
    <row r="384" spans="1:31" ht="15.75" customHeight="1" x14ac:dyDescent="0.25">
      <c r="A384" s="5" t="s">
        <v>334</v>
      </c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>
        <v>700</v>
      </c>
      <c r="M384" s="3">
        <v>1190</v>
      </c>
      <c r="N384" s="3">
        <v>420</v>
      </c>
      <c r="O384" s="42">
        <v>700</v>
      </c>
      <c r="P384" s="3">
        <v>700</v>
      </c>
      <c r="Q384" s="42">
        <v>700</v>
      </c>
      <c r="R384" s="48">
        <v>960</v>
      </c>
      <c r="S384" s="3">
        <f>1100-R384</f>
        <v>140</v>
      </c>
      <c r="T384" s="3">
        <f t="shared" si="131"/>
        <v>1100</v>
      </c>
      <c r="U384" s="3">
        <f t="shared" si="132"/>
        <v>400</v>
      </c>
      <c r="V384" s="3">
        <f t="shared" si="133"/>
        <v>400</v>
      </c>
      <c r="W384" s="3">
        <v>700</v>
      </c>
      <c r="X384" s="3">
        <f t="shared" si="140"/>
        <v>0</v>
      </c>
      <c r="Y384" s="10">
        <f>+X384/P384</f>
        <v>0</v>
      </c>
      <c r="Z384" s="4"/>
      <c r="AA384" s="4"/>
      <c r="AB384" s="5"/>
      <c r="AC384" s="5"/>
      <c r="AD384" s="5"/>
      <c r="AE384" s="5"/>
    </row>
    <row r="385" spans="1:31" ht="15.75" hidden="1" customHeight="1" x14ac:dyDescent="0.25">
      <c r="A385" s="5" t="s">
        <v>335</v>
      </c>
      <c r="B385" s="3">
        <v>12000</v>
      </c>
      <c r="C385" s="3">
        <v>16800</v>
      </c>
      <c r="D385" s="3">
        <v>16800</v>
      </c>
      <c r="E385" s="3">
        <v>16800</v>
      </c>
      <c r="F385" s="3">
        <v>16800</v>
      </c>
      <c r="G385" s="3">
        <v>16800</v>
      </c>
      <c r="H385" s="3">
        <v>16800</v>
      </c>
      <c r="I385" s="3"/>
      <c r="J385" s="3"/>
      <c r="K385" s="3"/>
      <c r="L385" s="3"/>
      <c r="M385" s="3"/>
      <c r="N385" s="3"/>
      <c r="O385" s="42"/>
      <c r="P385" s="3"/>
      <c r="Q385" s="42"/>
      <c r="R385" s="48"/>
      <c r="S385" s="3"/>
      <c r="T385" s="3">
        <f t="shared" si="131"/>
        <v>0</v>
      </c>
      <c r="U385" s="3">
        <f t="shared" si="132"/>
        <v>0</v>
      </c>
      <c r="V385" s="3">
        <f t="shared" si="133"/>
        <v>0</v>
      </c>
      <c r="W385" s="3"/>
      <c r="X385" s="3">
        <f t="shared" si="140"/>
        <v>0</v>
      </c>
      <c r="Y385" s="10"/>
      <c r="Z385" s="4"/>
      <c r="AA385" s="4"/>
      <c r="AB385" s="5"/>
      <c r="AC385" s="5"/>
      <c r="AD385" s="5"/>
      <c r="AE385" s="5"/>
    </row>
    <row r="386" spans="1:31" ht="15.75" customHeight="1" x14ac:dyDescent="0.25">
      <c r="A386" s="5" t="s">
        <v>336</v>
      </c>
      <c r="B386" s="3">
        <v>30</v>
      </c>
      <c r="C386" s="3">
        <v>20</v>
      </c>
      <c r="D386" s="3">
        <v>30</v>
      </c>
      <c r="E386" s="3">
        <v>30</v>
      </c>
      <c r="F386" s="3">
        <v>-5</v>
      </c>
      <c r="G386" s="3">
        <v>85.81</v>
      </c>
      <c r="H386" s="3">
        <v>33.75</v>
      </c>
      <c r="I386" s="3">
        <v>129.96</v>
      </c>
      <c r="J386" s="3">
        <v>135.44999999999999</v>
      </c>
      <c r="K386" s="3">
        <v>45</v>
      </c>
      <c r="L386" s="3">
        <v>301.01</v>
      </c>
      <c r="M386" s="3">
        <v>231.79</v>
      </c>
      <c r="N386" s="3">
        <v>104</v>
      </c>
      <c r="O386" s="42">
        <v>20</v>
      </c>
      <c r="P386" s="3">
        <v>0</v>
      </c>
      <c r="Q386" s="42">
        <v>0</v>
      </c>
      <c r="R386" s="48">
        <v>161.30000000000001</v>
      </c>
      <c r="S386" s="3">
        <v>0</v>
      </c>
      <c r="T386" s="3">
        <f t="shared" si="131"/>
        <v>161.30000000000001</v>
      </c>
      <c r="U386" s="3">
        <f t="shared" si="132"/>
        <v>161.30000000000001</v>
      </c>
      <c r="V386" s="3">
        <f t="shared" si="133"/>
        <v>161.30000000000001</v>
      </c>
      <c r="W386" s="3">
        <v>0</v>
      </c>
      <c r="X386" s="3">
        <f t="shared" si="140"/>
        <v>0</v>
      </c>
      <c r="Y386" s="10"/>
      <c r="Z386" s="4"/>
      <c r="AA386" s="4"/>
      <c r="AB386" s="5"/>
      <c r="AC386" s="5"/>
      <c r="AD386" s="5"/>
      <c r="AE386" s="5"/>
    </row>
    <row r="387" spans="1:31" ht="15.75" hidden="1" customHeight="1" x14ac:dyDescent="0.25">
      <c r="A387" s="5" t="s">
        <v>337</v>
      </c>
      <c r="B387" s="3">
        <v>5875</v>
      </c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42"/>
      <c r="P387" s="3"/>
      <c r="Q387" s="42"/>
      <c r="R387" s="48"/>
      <c r="S387" s="3"/>
      <c r="T387" s="3">
        <f t="shared" si="131"/>
        <v>0</v>
      </c>
      <c r="U387" s="3">
        <f t="shared" si="132"/>
        <v>0</v>
      </c>
      <c r="V387" s="3">
        <f t="shared" si="133"/>
        <v>0</v>
      </c>
      <c r="W387" s="3"/>
      <c r="X387" s="3">
        <f t="shared" si="140"/>
        <v>0</v>
      </c>
      <c r="Y387" s="10"/>
      <c r="Z387" s="4"/>
      <c r="AA387" s="4"/>
      <c r="AB387" s="5"/>
      <c r="AC387" s="5"/>
      <c r="AD387" s="5"/>
      <c r="AE387" s="5"/>
    </row>
    <row r="388" spans="1:31" ht="15.75" customHeight="1" x14ac:dyDescent="0.25">
      <c r="A388" s="5" t="s">
        <v>338</v>
      </c>
      <c r="B388" s="3"/>
      <c r="C388" s="3">
        <v>6820</v>
      </c>
      <c r="D388" s="3">
        <v>7343.15</v>
      </c>
      <c r="E388" s="3">
        <v>5795</v>
      </c>
      <c r="F388" s="3">
        <v>6245</v>
      </c>
      <c r="G388" s="3">
        <v>5025</v>
      </c>
      <c r="H388" s="3">
        <v>6275</v>
      </c>
      <c r="I388" s="3">
        <v>5960</v>
      </c>
      <c r="J388" s="3">
        <v>3600</v>
      </c>
      <c r="K388" s="3">
        <v>4250</v>
      </c>
      <c r="L388" s="3">
        <v>14450</v>
      </c>
      <c r="M388" s="3">
        <v>23000</v>
      </c>
      <c r="N388" s="3">
        <v>27000</v>
      </c>
      <c r="O388" s="42">
        <v>30050</v>
      </c>
      <c r="P388" s="3">
        <v>28000</v>
      </c>
      <c r="Q388" s="42">
        <v>28000</v>
      </c>
      <c r="R388" s="48">
        <v>13880</v>
      </c>
      <c r="S388" s="3">
        <v>15000</v>
      </c>
      <c r="T388" s="3">
        <f t="shared" si="131"/>
        <v>28880</v>
      </c>
      <c r="U388" s="3">
        <f t="shared" si="132"/>
        <v>880</v>
      </c>
      <c r="V388" s="3">
        <f t="shared" si="133"/>
        <v>880</v>
      </c>
      <c r="W388" s="3">
        <v>28000</v>
      </c>
      <c r="X388" s="3">
        <f t="shared" si="140"/>
        <v>0</v>
      </c>
      <c r="Y388" s="10">
        <f t="shared" ref="Y388:Y393" si="141">+X388/P388</f>
        <v>0</v>
      </c>
      <c r="Z388" s="4"/>
      <c r="AA388" s="4"/>
      <c r="AB388" s="5"/>
      <c r="AC388" s="5"/>
      <c r="AD388" s="5"/>
      <c r="AE388" s="5"/>
    </row>
    <row r="389" spans="1:31" ht="15.75" customHeight="1" x14ac:dyDescent="0.25">
      <c r="A389" s="5" t="s">
        <v>339</v>
      </c>
      <c r="B389" s="3">
        <v>2625</v>
      </c>
      <c r="C389" s="3">
        <v>2300</v>
      </c>
      <c r="D389" s="3">
        <v>3060</v>
      </c>
      <c r="E389" s="3">
        <v>2250</v>
      </c>
      <c r="F389" s="3">
        <v>1775</v>
      </c>
      <c r="G389" s="3">
        <v>1325</v>
      </c>
      <c r="H389" s="3">
        <v>1400</v>
      </c>
      <c r="I389" s="3">
        <v>656</v>
      </c>
      <c r="J389" s="3">
        <v>1075</v>
      </c>
      <c r="K389" s="3">
        <v>1685</v>
      </c>
      <c r="L389" s="3">
        <v>2200</v>
      </c>
      <c r="M389" s="3">
        <v>1550</v>
      </c>
      <c r="N389" s="3">
        <v>1925</v>
      </c>
      <c r="O389" s="42">
        <v>2475</v>
      </c>
      <c r="P389" s="3">
        <v>5500</v>
      </c>
      <c r="Q389" s="42">
        <v>5500</v>
      </c>
      <c r="R389" s="48">
        <v>4100</v>
      </c>
      <c r="S389" s="3">
        <f>+Q389-R389</f>
        <v>1400</v>
      </c>
      <c r="T389" s="3">
        <f t="shared" si="131"/>
        <v>5500</v>
      </c>
      <c r="U389" s="3">
        <f t="shared" si="132"/>
        <v>0</v>
      </c>
      <c r="V389" s="3">
        <f t="shared" si="133"/>
        <v>0</v>
      </c>
      <c r="W389" s="3">
        <v>5500</v>
      </c>
      <c r="X389" s="3">
        <f t="shared" si="140"/>
        <v>0</v>
      </c>
      <c r="Y389" s="10">
        <f t="shared" si="141"/>
        <v>0</v>
      </c>
      <c r="Z389" s="4"/>
      <c r="AA389" s="4"/>
      <c r="AB389" s="5"/>
      <c r="AC389" s="5"/>
      <c r="AD389" s="5"/>
      <c r="AE389" s="5"/>
    </row>
    <row r="390" spans="1:31" ht="15.75" customHeight="1" x14ac:dyDescent="0.25">
      <c r="A390" s="5" t="s">
        <v>340</v>
      </c>
      <c r="B390" s="3">
        <v>40642</v>
      </c>
      <c r="C390" s="3">
        <v>31563</v>
      </c>
      <c r="D390" s="3">
        <v>32485</v>
      </c>
      <c r="E390" s="3">
        <v>21530.9</v>
      </c>
      <c r="F390" s="3">
        <v>33862</v>
      </c>
      <c r="G390" s="3">
        <v>48845.71</v>
      </c>
      <c r="H390" s="3">
        <v>28809.279999999999</v>
      </c>
      <c r="I390" s="3">
        <v>43939.47</v>
      </c>
      <c r="J390" s="3">
        <v>33782</v>
      </c>
      <c r="K390" s="3">
        <v>37882.92</v>
      </c>
      <c r="L390" s="3">
        <v>41330</v>
      </c>
      <c r="M390" s="3">
        <v>94782.720000000001</v>
      </c>
      <c r="N390" s="3">
        <v>48497</v>
      </c>
      <c r="O390" s="42">
        <v>73540</v>
      </c>
      <c r="P390" s="3">
        <v>55000</v>
      </c>
      <c r="Q390" s="42">
        <v>55000</v>
      </c>
      <c r="R390" s="48">
        <v>36327.5</v>
      </c>
      <c r="S390" s="3">
        <f>4500*4</f>
        <v>18000</v>
      </c>
      <c r="T390" s="3">
        <f t="shared" si="131"/>
        <v>54327.5</v>
      </c>
      <c r="U390" s="3">
        <f t="shared" si="132"/>
        <v>-672.5</v>
      </c>
      <c r="V390" s="3">
        <f t="shared" si="133"/>
        <v>-672.5</v>
      </c>
      <c r="W390" s="3">
        <v>55000</v>
      </c>
      <c r="X390" s="3">
        <f t="shared" si="140"/>
        <v>0</v>
      </c>
      <c r="Y390" s="10">
        <f t="shared" si="141"/>
        <v>0</v>
      </c>
      <c r="Z390" s="4"/>
      <c r="AA390" s="4"/>
      <c r="AB390" s="5"/>
      <c r="AC390" s="5"/>
      <c r="AD390" s="5"/>
      <c r="AE390" s="5"/>
    </row>
    <row r="391" spans="1:31" ht="15.75" customHeight="1" x14ac:dyDescent="0.25">
      <c r="A391" s="5" t="s">
        <v>341</v>
      </c>
      <c r="B391" s="3">
        <v>10100</v>
      </c>
      <c r="C391" s="3">
        <v>7525</v>
      </c>
      <c r="D391" s="3">
        <v>7550</v>
      </c>
      <c r="E391" s="3">
        <v>7820</v>
      </c>
      <c r="F391" s="3">
        <v>10650</v>
      </c>
      <c r="G391" s="3">
        <v>12656</v>
      </c>
      <c r="H391" s="3">
        <v>14330</v>
      </c>
      <c r="I391" s="3">
        <v>12336</v>
      </c>
      <c r="J391" s="3">
        <v>13787</v>
      </c>
      <c r="K391" s="3">
        <v>19350</v>
      </c>
      <c r="L391" s="3">
        <v>15165</v>
      </c>
      <c r="M391" s="3">
        <v>10905</v>
      </c>
      <c r="N391" s="3">
        <v>6300</v>
      </c>
      <c r="O391" s="42">
        <v>9915</v>
      </c>
      <c r="P391" s="3">
        <v>7200</v>
      </c>
      <c r="Q391" s="42">
        <v>7200</v>
      </c>
      <c r="R391" s="48">
        <v>5565</v>
      </c>
      <c r="S391" s="3">
        <f>700*4</f>
        <v>2800</v>
      </c>
      <c r="T391" s="3">
        <f t="shared" si="131"/>
        <v>8365</v>
      </c>
      <c r="U391" s="3">
        <f t="shared" si="132"/>
        <v>1165</v>
      </c>
      <c r="V391" s="3">
        <f t="shared" si="133"/>
        <v>1165</v>
      </c>
      <c r="W391" s="3">
        <v>7200</v>
      </c>
      <c r="X391" s="3">
        <f t="shared" si="140"/>
        <v>0</v>
      </c>
      <c r="Y391" s="10">
        <f t="shared" si="141"/>
        <v>0</v>
      </c>
      <c r="Z391" s="4"/>
      <c r="AA391" s="4"/>
      <c r="AB391" s="5"/>
      <c r="AC391" s="5"/>
      <c r="AD391" s="5"/>
      <c r="AE391" s="5"/>
    </row>
    <row r="392" spans="1:31" ht="15.75" customHeight="1" x14ac:dyDescent="0.25">
      <c r="A392" s="5" t="s">
        <v>342</v>
      </c>
      <c r="B392" s="3">
        <v>2450</v>
      </c>
      <c r="C392" s="3">
        <v>2330</v>
      </c>
      <c r="D392" s="3">
        <v>1500</v>
      </c>
      <c r="E392" s="3">
        <v>2200</v>
      </c>
      <c r="F392" s="3">
        <v>2100</v>
      </c>
      <c r="G392" s="3">
        <v>1500</v>
      </c>
      <c r="H392" s="3">
        <v>1900</v>
      </c>
      <c r="I392" s="3">
        <v>2000</v>
      </c>
      <c r="J392" s="3">
        <v>3150</v>
      </c>
      <c r="K392" s="3">
        <v>2700</v>
      </c>
      <c r="L392" s="3">
        <v>3100</v>
      </c>
      <c r="M392" s="3">
        <v>1800</v>
      </c>
      <c r="N392" s="3">
        <v>1950</v>
      </c>
      <c r="O392" s="42">
        <v>1650</v>
      </c>
      <c r="P392" s="3">
        <v>1800</v>
      </c>
      <c r="Q392" s="42">
        <v>1800</v>
      </c>
      <c r="R392" s="48">
        <v>1650</v>
      </c>
      <c r="S392" s="3">
        <v>750</v>
      </c>
      <c r="T392" s="3">
        <f t="shared" si="131"/>
        <v>2400</v>
      </c>
      <c r="U392" s="3">
        <f t="shared" si="132"/>
        <v>600</v>
      </c>
      <c r="V392" s="3">
        <f t="shared" si="133"/>
        <v>600</v>
      </c>
      <c r="W392" s="3">
        <v>1800</v>
      </c>
      <c r="X392" s="3">
        <f t="shared" si="140"/>
        <v>0</v>
      </c>
      <c r="Y392" s="10">
        <f t="shared" si="141"/>
        <v>0</v>
      </c>
      <c r="Z392" s="4"/>
      <c r="AA392" s="4"/>
      <c r="AB392" s="5"/>
      <c r="AC392" s="5"/>
      <c r="AD392" s="5"/>
      <c r="AE392" s="5"/>
    </row>
    <row r="393" spans="1:31" ht="15.75" customHeight="1" x14ac:dyDescent="0.25">
      <c r="A393" s="5" t="s">
        <v>343</v>
      </c>
      <c r="B393" s="3">
        <v>350</v>
      </c>
      <c r="C393" s="3">
        <v>250</v>
      </c>
      <c r="D393" s="3">
        <v>300</v>
      </c>
      <c r="E393" s="3">
        <v>175</v>
      </c>
      <c r="F393" s="3">
        <v>150</v>
      </c>
      <c r="G393" s="3">
        <v>100</v>
      </c>
      <c r="H393" s="3">
        <v>50</v>
      </c>
      <c r="I393" s="3">
        <v>100</v>
      </c>
      <c r="J393" s="3">
        <v>200</v>
      </c>
      <c r="K393" s="3">
        <v>8780</v>
      </c>
      <c r="L393" s="3">
        <v>350</v>
      </c>
      <c r="M393" s="3">
        <v>407</v>
      </c>
      <c r="N393" s="3">
        <v>687</v>
      </c>
      <c r="O393" s="42">
        <v>2050</v>
      </c>
      <c r="P393" s="3">
        <v>600</v>
      </c>
      <c r="Q393" s="42">
        <v>600</v>
      </c>
      <c r="R393" s="48">
        <v>530</v>
      </c>
      <c r="S393" s="3">
        <f>886-R393</f>
        <v>356</v>
      </c>
      <c r="T393" s="3">
        <f t="shared" si="131"/>
        <v>886</v>
      </c>
      <c r="U393" s="3">
        <f t="shared" si="132"/>
        <v>286</v>
      </c>
      <c r="V393" s="3">
        <f t="shared" si="133"/>
        <v>286</v>
      </c>
      <c r="W393" s="3">
        <v>600</v>
      </c>
      <c r="X393" s="3">
        <f t="shared" si="140"/>
        <v>0</v>
      </c>
      <c r="Y393" s="10">
        <f t="shared" si="141"/>
        <v>0</v>
      </c>
      <c r="Z393" s="4"/>
      <c r="AA393" s="4"/>
      <c r="AB393" s="5"/>
      <c r="AC393" s="5"/>
      <c r="AD393" s="5"/>
      <c r="AE393" s="5"/>
    </row>
    <row r="394" spans="1:31" ht="15.75" customHeight="1" x14ac:dyDescent="0.25">
      <c r="A394" s="5" t="s">
        <v>345</v>
      </c>
      <c r="B394" s="3">
        <v>2824</v>
      </c>
      <c r="C394" s="3">
        <v>2125</v>
      </c>
      <c r="D394" s="3">
        <v>1975</v>
      </c>
      <c r="E394" s="3">
        <v>1600</v>
      </c>
      <c r="F394" s="3">
        <v>931</v>
      </c>
      <c r="G394" s="3">
        <v>560</v>
      </c>
      <c r="H394" s="3">
        <v>525</v>
      </c>
      <c r="I394" s="3">
        <v>2243.85</v>
      </c>
      <c r="J394" s="3">
        <v>2006</v>
      </c>
      <c r="K394" s="3">
        <v>1181</v>
      </c>
      <c r="L394" s="3">
        <v>800</v>
      </c>
      <c r="M394" s="3">
        <v>2125</v>
      </c>
      <c r="N394" s="3">
        <v>7125</v>
      </c>
      <c r="O394" s="42">
        <v>6500</v>
      </c>
      <c r="P394" s="3">
        <v>5000</v>
      </c>
      <c r="Q394" s="42">
        <v>5000</v>
      </c>
      <c r="R394" s="48">
        <v>4325</v>
      </c>
      <c r="S394" s="3">
        <f>500*4</f>
        <v>2000</v>
      </c>
      <c r="T394" s="3">
        <f t="shared" ref="T394:T419" si="142">+R394+S394</f>
        <v>6325</v>
      </c>
      <c r="U394" s="3">
        <f t="shared" ref="U394:U419" si="143">+T394-P394</f>
        <v>1325</v>
      </c>
      <c r="V394" s="3">
        <f t="shared" ref="V394:V419" si="144">+T394-Q394</f>
        <v>1325</v>
      </c>
      <c r="W394" s="3">
        <v>5000</v>
      </c>
      <c r="X394" s="3">
        <f t="shared" si="140"/>
        <v>0</v>
      </c>
      <c r="Y394" s="10">
        <f>+X394/P394</f>
        <v>0</v>
      </c>
      <c r="Z394" s="4"/>
      <c r="AA394" s="4"/>
      <c r="AB394" s="5"/>
      <c r="AC394" s="5"/>
      <c r="AD394" s="5"/>
      <c r="AE394" s="5"/>
    </row>
    <row r="395" spans="1:31" ht="15.75" customHeight="1" x14ac:dyDescent="0.25">
      <c r="A395" s="5" t="s">
        <v>346</v>
      </c>
      <c r="B395" s="3">
        <v>175</v>
      </c>
      <c r="C395" s="3">
        <v>400</v>
      </c>
      <c r="D395" s="3">
        <v>575</v>
      </c>
      <c r="E395" s="3">
        <v>350</v>
      </c>
      <c r="F395" s="3">
        <v>125</v>
      </c>
      <c r="G395" s="3">
        <v>350</v>
      </c>
      <c r="H395" s="3">
        <v>575</v>
      </c>
      <c r="I395" s="3">
        <v>25</v>
      </c>
      <c r="J395" s="3">
        <v>475</v>
      </c>
      <c r="K395" s="3">
        <v>450</v>
      </c>
      <c r="L395" s="3">
        <v>450</v>
      </c>
      <c r="M395" s="3">
        <v>125</v>
      </c>
      <c r="N395" s="3">
        <v>750</v>
      </c>
      <c r="O395" s="42">
        <v>525</v>
      </c>
      <c r="P395" s="3">
        <v>450</v>
      </c>
      <c r="Q395" s="42">
        <v>450</v>
      </c>
      <c r="R395" s="48">
        <v>425</v>
      </c>
      <c r="S395" s="3">
        <v>100</v>
      </c>
      <c r="T395" s="3">
        <f t="shared" si="142"/>
        <v>525</v>
      </c>
      <c r="U395" s="3">
        <f t="shared" si="143"/>
        <v>75</v>
      </c>
      <c r="V395" s="3">
        <f t="shared" si="144"/>
        <v>75</v>
      </c>
      <c r="W395" s="3">
        <v>525</v>
      </c>
      <c r="X395" s="3">
        <f t="shared" si="140"/>
        <v>75</v>
      </c>
      <c r="Y395" s="10">
        <f>+X395/P395</f>
        <v>0.16666666666666666</v>
      </c>
      <c r="Z395" s="4"/>
      <c r="AA395" s="4"/>
      <c r="AB395" s="5"/>
      <c r="AC395" s="5"/>
      <c r="AD395" s="5"/>
      <c r="AE395" s="5"/>
    </row>
    <row r="396" spans="1:31" ht="15.75" customHeight="1" x14ac:dyDescent="0.25">
      <c r="A396" s="5" t="s">
        <v>347</v>
      </c>
      <c r="B396" s="3"/>
      <c r="C396" s="3">
        <v>800</v>
      </c>
      <c r="D396" s="3">
        <v>400</v>
      </c>
      <c r="E396" s="3">
        <v>400</v>
      </c>
      <c r="F396" s="3">
        <v>500</v>
      </c>
      <c r="G396" s="3">
        <v>400</v>
      </c>
      <c r="H396" s="3">
        <v>400</v>
      </c>
      <c r="I396" s="3">
        <v>400</v>
      </c>
      <c r="J396" s="3">
        <v>400</v>
      </c>
      <c r="K396" s="3">
        <v>200</v>
      </c>
      <c r="L396" s="3">
        <v>300</v>
      </c>
      <c r="M396" s="3">
        <v>300</v>
      </c>
      <c r="N396" s="3">
        <v>200</v>
      </c>
      <c r="O396" s="42">
        <v>200</v>
      </c>
      <c r="P396" s="3">
        <v>200</v>
      </c>
      <c r="Q396" s="42">
        <v>200</v>
      </c>
      <c r="R396" s="48">
        <v>0</v>
      </c>
      <c r="S396" s="3">
        <v>200</v>
      </c>
      <c r="T396" s="3">
        <f t="shared" si="142"/>
        <v>200</v>
      </c>
      <c r="U396" s="3">
        <f t="shared" si="143"/>
        <v>0</v>
      </c>
      <c r="V396" s="3">
        <f t="shared" si="144"/>
        <v>0</v>
      </c>
      <c r="W396" s="3">
        <v>200</v>
      </c>
      <c r="X396" s="3">
        <f t="shared" si="140"/>
        <v>0</v>
      </c>
      <c r="Y396" s="10">
        <f>+X396/P396</f>
        <v>0</v>
      </c>
      <c r="Z396" s="4"/>
      <c r="AA396" s="4"/>
      <c r="AB396" s="5"/>
      <c r="AC396" s="5"/>
      <c r="AD396" s="5"/>
      <c r="AE396" s="5"/>
    </row>
    <row r="397" spans="1:31" ht="15.75" customHeight="1" x14ac:dyDescent="0.25">
      <c r="A397" s="5" t="s">
        <v>348</v>
      </c>
      <c r="B397" s="3">
        <v>142299</v>
      </c>
      <c r="C397" s="3">
        <v>140473</v>
      </c>
      <c r="D397" s="3">
        <v>161771.75</v>
      </c>
      <c r="E397" s="3">
        <v>120741</v>
      </c>
      <c r="F397" s="3">
        <v>115685.4</v>
      </c>
      <c r="G397" s="3">
        <v>101188.9</v>
      </c>
      <c r="H397" s="3">
        <v>114534.5</v>
      </c>
      <c r="I397" s="3">
        <v>117962</v>
      </c>
      <c r="J397" s="3">
        <v>65576</v>
      </c>
      <c r="K397" s="3">
        <v>77350</v>
      </c>
      <c r="L397" s="3">
        <v>123519</v>
      </c>
      <c r="M397" s="3">
        <v>166779</v>
      </c>
      <c r="N397" s="3">
        <v>139812</v>
      </c>
      <c r="O397" s="42">
        <v>156128</v>
      </c>
      <c r="P397" s="3">
        <v>145000</v>
      </c>
      <c r="Q397" s="42">
        <v>145000</v>
      </c>
      <c r="R397" s="48">
        <v>66916</v>
      </c>
      <c r="S397" s="3">
        <f>7171+7000+7000+7000+7000</f>
        <v>35171</v>
      </c>
      <c r="T397" s="3">
        <f t="shared" si="142"/>
        <v>102087</v>
      </c>
      <c r="U397" s="3">
        <f t="shared" si="143"/>
        <v>-42913</v>
      </c>
      <c r="V397" s="3">
        <f t="shared" si="144"/>
        <v>-42913</v>
      </c>
      <c r="W397" s="3">
        <v>135000</v>
      </c>
      <c r="X397" s="3">
        <f t="shared" si="140"/>
        <v>-10000</v>
      </c>
      <c r="Y397" s="10">
        <f>+X397/P397</f>
        <v>-6.8965517241379309E-2</v>
      </c>
      <c r="Z397" s="57"/>
      <c r="AA397" s="4"/>
      <c r="AB397" s="5"/>
      <c r="AC397" s="5"/>
      <c r="AD397" s="5"/>
      <c r="AE397" s="5"/>
    </row>
    <row r="398" spans="1:31" ht="15.75" customHeight="1" x14ac:dyDescent="0.25">
      <c r="A398" s="34" t="s">
        <v>414</v>
      </c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42"/>
      <c r="P398" s="3"/>
      <c r="Q398" s="42"/>
      <c r="R398" s="48">
        <v>647</v>
      </c>
      <c r="S398" s="3">
        <v>0</v>
      </c>
      <c r="T398" s="3">
        <f t="shared" si="142"/>
        <v>647</v>
      </c>
      <c r="U398" s="3">
        <f t="shared" si="143"/>
        <v>647</v>
      </c>
      <c r="V398" s="3">
        <f t="shared" si="144"/>
        <v>647</v>
      </c>
      <c r="W398" s="3">
        <v>0</v>
      </c>
      <c r="X398" s="3">
        <f t="shared" si="140"/>
        <v>0</v>
      </c>
      <c r="Y398" s="10"/>
      <c r="Z398" s="4"/>
      <c r="AA398" s="4"/>
      <c r="AB398" s="5"/>
      <c r="AC398" s="5"/>
      <c r="AD398" s="5"/>
      <c r="AE398" s="5"/>
    </row>
    <row r="399" spans="1:31" ht="15.75" hidden="1" customHeight="1" x14ac:dyDescent="0.25">
      <c r="A399" s="5" t="s">
        <v>349</v>
      </c>
      <c r="B399" s="3"/>
      <c r="C399" s="3">
        <v>7500</v>
      </c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42"/>
      <c r="P399" s="3"/>
      <c r="Q399" s="42"/>
      <c r="R399" s="48"/>
      <c r="S399" s="3"/>
      <c r="T399" s="3">
        <f t="shared" si="142"/>
        <v>0</v>
      </c>
      <c r="U399" s="3">
        <f t="shared" si="143"/>
        <v>0</v>
      </c>
      <c r="V399" s="3">
        <f t="shared" si="144"/>
        <v>0</v>
      </c>
      <c r="W399" s="3"/>
      <c r="X399" s="3">
        <f t="shared" si="140"/>
        <v>0</v>
      </c>
      <c r="Y399" s="10"/>
      <c r="Z399" s="4"/>
      <c r="AA399" s="4"/>
      <c r="AB399" s="5"/>
      <c r="AC399" s="5"/>
      <c r="AD399" s="5"/>
      <c r="AE399" s="5"/>
    </row>
    <row r="400" spans="1:31" ht="15.75" customHeight="1" x14ac:dyDescent="0.25">
      <c r="A400" s="5" t="s">
        <v>350</v>
      </c>
      <c r="B400" s="3"/>
      <c r="C400" s="3">
        <v>2500</v>
      </c>
      <c r="D400" s="3">
        <v>896.4</v>
      </c>
      <c r="E400" s="3"/>
      <c r="F400" s="3">
        <v>6991</v>
      </c>
      <c r="G400" s="3">
        <v>23511</v>
      </c>
      <c r="H400" s="3"/>
      <c r="I400" s="3">
        <v>1407.2</v>
      </c>
      <c r="J400" s="3">
        <v>18000</v>
      </c>
      <c r="K400" s="3">
        <v>4550</v>
      </c>
      <c r="L400" s="3"/>
      <c r="M400" s="3">
        <v>16061</v>
      </c>
      <c r="N400" s="3">
        <v>14780</v>
      </c>
      <c r="O400" s="42">
        <v>1088</v>
      </c>
      <c r="P400" s="3"/>
      <c r="Q400" s="42">
        <v>0</v>
      </c>
      <c r="R400" s="48">
        <v>515</v>
      </c>
      <c r="S400" s="3">
        <v>0</v>
      </c>
      <c r="T400" s="3">
        <f t="shared" si="142"/>
        <v>515</v>
      </c>
      <c r="U400" s="3">
        <f t="shared" si="143"/>
        <v>515</v>
      </c>
      <c r="V400" s="3">
        <f t="shared" si="144"/>
        <v>515</v>
      </c>
      <c r="W400" s="3">
        <v>0</v>
      </c>
      <c r="X400" s="3">
        <f t="shared" si="140"/>
        <v>0</v>
      </c>
      <c r="Y400" s="10"/>
      <c r="Z400" s="4"/>
      <c r="AA400" s="4"/>
      <c r="AB400" s="5"/>
      <c r="AC400" s="5"/>
      <c r="AD400" s="5"/>
      <c r="AE400" s="5"/>
    </row>
    <row r="401" spans="1:31" ht="15.75" customHeight="1" x14ac:dyDescent="0.25">
      <c r="A401" s="5" t="s">
        <v>351</v>
      </c>
      <c r="B401" s="3">
        <v>23703.11</v>
      </c>
      <c r="C401" s="3"/>
      <c r="D401" s="3"/>
      <c r="E401" s="3"/>
      <c r="F401" s="3">
        <v>6851.42</v>
      </c>
      <c r="G401" s="3">
        <v>21087.05</v>
      </c>
      <c r="H401" s="3">
        <v>19770.23</v>
      </c>
      <c r="I401" s="3"/>
      <c r="J401" s="3">
        <v>4432.79</v>
      </c>
      <c r="K401" s="3">
        <v>33700.49</v>
      </c>
      <c r="L401" s="3">
        <v>44934.7</v>
      </c>
      <c r="M401" s="3"/>
      <c r="N401" s="3"/>
      <c r="O401" s="42">
        <v>430.55</v>
      </c>
      <c r="P401" s="3"/>
      <c r="Q401" s="42">
        <v>0</v>
      </c>
      <c r="R401" s="48">
        <v>20144.5</v>
      </c>
      <c r="S401" s="3">
        <v>0</v>
      </c>
      <c r="T401" s="3">
        <f t="shared" si="142"/>
        <v>20144.5</v>
      </c>
      <c r="U401" s="3">
        <f t="shared" si="143"/>
        <v>20144.5</v>
      </c>
      <c r="V401" s="3">
        <f t="shared" si="144"/>
        <v>20144.5</v>
      </c>
      <c r="W401" s="3">
        <v>0</v>
      </c>
      <c r="X401" s="3">
        <f t="shared" si="140"/>
        <v>0</v>
      </c>
      <c r="Y401" s="10"/>
      <c r="Z401" s="4"/>
      <c r="AA401" s="4"/>
      <c r="AB401" s="5"/>
      <c r="AC401" s="5"/>
      <c r="AD401" s="5"/>
      <c r="AE401" s="5"/>
    </row>
    <row r="402" spans="1:31" ht="15.75" customHeight="1" x14ac:dyDescent="0.25">
      <c r="A402" s="5" t="s">
        <v>352</v>
      </c>
      <c r="B402" s="3">
        <v>2688</v>
      </c>
      <c r="C402" s="3"/>
      <c r="D402" s="3"/>
      <c r="E402" s="3"/>
      <c r="F402" s="3">
        <v>278</v>
      </c>
      <c r="G402" s="3"/>
      <c r="H402" s="3"/>
      <c r="I402" s="3">
        <v>2204.5</v>
      </c>
      <c r="J402" s="3"/>
      <c r="K402" s="3"/>
      <c r="L402" s="3">
        <v>2337.75</v>
      </c>
      <c r="M402" s="3"/>
      <c r="N402" s="3"/>
      <c r="O402" s="42"/>
      <c r="P402" s="3"/>
      <c r="Q402" s="42"/>
      <c r="R402" s="48"/>
      <c r="S402" s="3"/>
      <c r="T402" s="3">
        <f t="shared" si="142"/>
        <v>0</v>
      </c>
      <c r="U402" s="3">
        <f t="shared" si="143"/>
        <v>0</v>
      </c>
      <c r="V402" s="3">
        <f t="shared" si="144"/>
        <v>0</v>
      </c>
      <c r="W402" s="3">
        <v>0</v>
      </c>
      <c r="X402" s="3">
        <f t="shared" si="140"/>
        <v>0</v>
      </c>
      <c r="Y402" s="10"/>
      <c r="Z402" s="4"/>
      <c r="AA402" s="4"/>
      <c r="AB402" s="5"/>
      <c r="AC402" s="5"/>
      <c r="AD402" s="5"/>
      <c r="AE402" s="5"/>
    </row>
    <row r="403" spans="1:31" ht="15.75" customHeight="1" x14ac:dyDescent="0.25">
      <c r="A403" s="5" t="s">
        <v>353</v>
      </c>
      <c r="B403" s="3">
        <v>1518.75</v>
      </c>
      <c r="C403" s="3">
        <v>43051</v>
      </c>
      <c r="D403" s="3">
        <v>6600</v>
      </c>
      <c r="E403" s="3"/>
      <c r="F403" s="3"/>
      <c r="G403" s="3"/>
      <c r="H403" s="3">
        <v>61.21</v>
      </c>
      <c r="I403" s="3"/>
      <c r="J403" s="3"/>
      <c r="K403" s="3"/>
      <c r="L403" s="3"/>
      <c r="M403" s="3"/>
      <c r="N403" s="3">
        <v>11490</v>
      </c>
      <c r="O403" s="42"/>
      <c r="P403" s="3"/>
      <c r="Q403" s="42">
        <v>0</v>
      </c>
      <c r="R403" s="48">
        <v>147</v>
      </c>
      <c r="S403" s="3">
        <v>0</v>
      </c>
      <c r="T403" s="3">
        <f t="shared" si="142"/>
        <v>147</v>
      </c>
      <c r="U403" s="3">
        <f t="shared" si="143"/>
        <v>147</v>
      </c>
      <c r="V403" s="3">
        <f t="shared" si="144"/>
        <v>147</v>
      </c>
      <c r="W403" s="3">
        <v>0</v>
      </c>
      <c r="X403" s="3">
        <f t="shared" si="140"/>
        <v>0</v>
      </c>
      <c r="Y403" s="10"/>
      <c r="Z403" s="4"/>
      <c r="AA403" s="4"/>
      <c r="AB403" s="5"/>
      <c r="AC403" s="5"/>
      <c r="AD403" s="5"/>
      <c r="AE403" s="5"/>
    </row>
    <row r="404" spans="1:31" ht="15.75" customHeight="1" x14ac:dyDescent="0.25">
      <c r="A404" s="5" t="s">
        <v>354</v>
      </c>
      <c r="B404" s="3">
        <v>3250</v>
      </c>
      <c r="C404" s="3">
        <v>5178</v>
      </c>
      <c r="D404" s="3">
        <v>1354.1</v>
      </c>
      <c r="E404" s="3">
        <v>108288.49</v>
      </c>
      <c r="F404" s="3">
        <v>1597</v>
      </c>
      <c r="G404" s="3">
        <v>14435</v>
      </c>
      <c r="H404" s="3">
        <v>425</v>
      </c>
      <c r="I404" s="3">
        <v>425</v>
      </c>
      <c r="J404" s="3"/>
      <c r="K404" s="3"/>
      <c r="L404" s="3">
        <v>475</v>
      </c>
      <c r="M404" s="3">
        <v>40</v>
      </c>
      <c r="N404" s="3">
        <v>422</v>
      </c>
      <c r="O404" s="42">
        <v>166.27</v>
      </c>
      <c r="P404" s="3"/>
      <c r="Q404" s="42">
        <v>0</v>
      </c>
      <c r="R404" s="48">
        <v>354</v>
      </c>
      <c r="S404" s="3">
        <v>0</v>
      </c>
      <c r="T404" s="3">
        <f t="shared" si="142"/>
        <v>354</v>
      </c>
      <c r="U404" s="3">
        <f t="shared" si="143"/>
        <v>354</v>
      </c>
      <c r="V404" s="3">
        <f t="shared" si="144"/>
        <v>354</v>
      </c>
      <c r="W404" s="3">
        <v>0</v>
      </c>
      <c r="X404" s="3">
        <f t="shared" si="140"/>
        <v>0</v>
      </c>
      <c r="Y404" s="10"/>
      <c r="Z404" s="4"/>
      <c r="AA404" s="4"/>
      <c r="AB404" s="5"/>
      <c r="AC404" s="5"/>
      <c r="AD404" s="5"/>
      <c r="AE404" s="5"/>
    </row>
    <row r="405" spans="1:31" ht="15.75" hidden="1" customHeight="1" x14ac:dyDescent="0.25">
      <c r="A405" s="5" t="s">
        <v>355</v>
      </c>
      <c r="B405" s="3"/>
      <c r="C405" s="3">
        <v>300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42"/>
      <c r="P405" s="3"/>
      <c r="Q405" s="42"/>
      <c r="R405" s="48"/>
      <c r="S405" s="3"/>
      <c r="T405" s="3">
        <f t="shared" si="142"/>
        <v>0</v>
      </c>
      <c r="U405" s="3">
        <f t="shared" si="143"/>
        <v>0</v>
      </c>
      <c r="V405" s="3">
        <f t="shared" si="144"/>
        <v>0</v>
      </c>
      <c r="W405" s="3"/>
      <c r="X405" s="3">
        <f t="shared" si="140"/>
        <v>0</v>
      </c>
      <c r="Y405" s="10"/>
      <c r="Z405" s="4"/>
      <c r="AA405" s="4"/>
      <c r="AB405" s="5"/>
      <c r="AC405" s="5"/>
      <c r="AD405" s="5"/>
      <c r="AE405" s="5"/>
    </row>
    <row r="406" spans="1:31" ht="15.75" customHeight="1" x14ac:dyDescent="0.25">
      <c r="A406" s="5" t="s">
        <v>356</v>
      </c>
      <c r="B406" s="3"/>
      <c r="C406" s="3"/>
      <c r="D406" s="3">
        <v>6170</v>
      </c>
      <c r="E406" s="3">
        <v>25</v>
      </c>
      <c r="F406" s="3">
        <v>1822</v>
      </c>
      <c r="G406" s="3"/>
      <c r="H406" s="3">
        <v>328</v>
      </c>
      <c r="I406" s="3"/>
      <c r="J406" s="3"/>
      <c r="K406" s="3"/>
      <c r="L406" s="3"/>
      <c r="M406" s="3"/>
      <c r="N406" s="3"/>
      <c r="O406" s="42">
        <v>15.3</v>
      </c>
      <c r="P406" s="3"/>
      <c r="Q406" s="42"/>
      <c r="R406" s="48"/>
      <c r="S406" s="3"/>
      <c r="T406" s="3">
        <f t="shared" si="142"/>
        <v>0</v>
      </c>
      <c r="U406" s="3">
        <f t="shared" si="143"/>
        <v>0</v>
      </c>
      <c r="V406" s="3">
        <f t="shared" si="144"/>
        <v>0</v>
      </c>
      <c r="W406" s="3">
        <v>0</v>
      </c>
      <c r="X406" s="3">
        <f t="shared" si="140"/>
        <v>0</v>
      </c>
      <c r="Y406" s="10"/>
      <c r="Z406" s="4"/>
      <c r="AA406" s="4"/>
      <c r="AB406" s="5"/>
      <c r="AC406" s="5"/>
      <c r="AD406" s="5"/>
      <c r="AE406" s="5"/>
    </row>
    <row r="407" spans="1:31" ht="15.75" hidden="1" customHeight="1" x14ac:dyDescent="0.25">
      <c r="A407" s="5" t="s">
        <v>357</v>
      </c>
      <c r="B407" s="3">
        <v>200</v>
      </c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42"/>
      <c r="P407" s="3"/>
      <c r="Q407" s="42"/>
      <c r="R407" s="48"/>
      <c r="S407" s="3"/>
      <c r="T407" s="3">
        <f t="shared" si="142"/>
        <v>0</v>
      </c>
      <c r="U407" s="3">
        <f t="shared" si="143"/>
        <v>0</v>
      </c>
      <c r="V407" s="3">
        <f t="shared" si="144"/>
        <v>0</v>
      </c>
      <c r="W407" s="3"/>
      <c r="X407" s="3">
        <f t="shared" si="140"/>
        <v>0</v>
      </c>
      <c r="Y407" s="10"/>
      <c r="Z407" s="4"/>
      <c r="AA407" s="4"/>
      <c r="AB407" s="5"/>
      <c r="AC407" s="5"/>
      <c r="AD407" s="5"/>
      <c r="AE407" s="5"/>
    </row>
    <row r="408" spans="1:31" ht="15.75" hidden="1" customHeight="1" x14ac:dyDescent="0.25">
      <c r="A408" s="5" t="s">
        <v>358</v>
      </c>
      <c r="B408" s="3"/>
      <c r="C408" s="3"/>
      <c r="D408" s="3">
        <v>50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42"/>
      <c r="P408" s="3"/>
      <c r="Q408" s="42"/>
      <c r="R408" s="48"/>
      <c r="S408" s="3"/>
      <c r="T408" s="3">
        <f t="shared" si="142"/>
        <v>0</v>
      </c>
      <c r="U408" s="3">
        <f t="shared" si="143"/>
        <v>0</v>
      </c>
      <c r="V408" s="3">
        <f t="shared" si="144"/>
        <v>0</v>
      </c>
      <c r="W408" s="3"/>
      <c r="X408" s="3">
        <f t="shared" si="140"/>
        <v>0</v>
      </c>
      <c r="Y408" s="10"/>
      <c r="Z408" s="4"/>
      <c r="AA408" s="4"/>
      <c r="AB408" s="5"/>
      <c r="AC408" s="5"/>
      <c r="AD408" s="5"/>
      <c r="AE408" s="5"/>
    </row>
    <row r="409" spans="1:31" ht="15.75" hidden="1" customHeight="1" x14ac:dyDescent="0.25">
      <c r="A409" s="5" t="s">
        <v>359</v>
      </c>
      <c r="B409" s="3">
        <v>771</v>
      </c>
      <c r="C409" s="3">
        <v>400</v>
      </c>
      <c r="D409" s="3">
        <v>555</v>
      </c>
      <c r="E409" s="3">
        <v>395</v>
      </c>
      <c r="F409" s="3">
        <v>400</v>
      </c>
      <c r="G409" s="3">
        <v>400</v>
      </c>
      <c r="H409" s="3"/>
      <c r="I409" s="3"/>
      <c r="J409" s="3"/>
      <c r="K409" s="3"/>
      <c r="L409" s="3"/>
      <c r="M409" s="3"/>
      <c r="N409" s="3"/>
      <c r="O409" s="42"/>
      <c r="P409" s="3"/>
      <c r="Q409" s="42"/>
      <c r="R409" s="48"/>
      <c r="S409" s="3"/>
      <c r="T409" s="3">
        <f t="shared" si="142"/>
        <v>0</v>
      </c>
      <c r="U409" s="3">
        <f t="shared" si="143"/>
        <v>0</v>
      </c>
      <c r="V409" s="3">
        <f t="shared" si="144"/>
        <v>0</v>
      </c>
      <c r="W409" s="3"/>
      <c r="X409" s="3">
        <f t="shared" si="140"/>
        <v>0</v>
      </c>
      <c r="Y409" s="10"/>
      <c r="Z409" s="4"/>
      <c r="AA409" s="4"/>
      <c r="AB409" s="5"/>
      <c r="AC409" s="5"/>
      <c r="AD409" s="5"/>
      <c r="AE409" s="5"/>
    </row>
    <row r="410" spans="1:31" ht="15.75" hidden="1" customHeight="1" x14ac:dyDescent="0.25">
      <c r="A410" s="5" t="s">
        <v>360</v>
      </c>
      <c r="B410" s="3"/>
      <c r="C410" s="3"/>
      <c r="D410" s="3">
        <v>3187</v>
      </c>
      <c r="E410" s="3">
        <v>2057</v>
      </c>
      <c r="F410" s="3">
        <v>1911.5</v>
      </c>
      <c r="G410" s="3">
        <v>1795.33</v>
      </c>
      <c r="H410" s="3">
        <v>2197.4899999999998</v>
      </c>
      <c r="I410" s="3">
        <v>2457</v>
      </c>
      <c r="J410" s="3">
        <v>629</v>
      </c>
      <c r="K410" s="3"/>
      <c r="L410" s="3"/>
      <c r="M410" s="3"/>
      <c r="N410" s="3"/>
      <c r="O410" s="42"/>
      <c r="P410" s="3"/>
      <c r="Q410" s="42"/>
      <c r="R410" s="48"/>
      <c r="S410" s="3"/>
      <c r="T410" s="3">
        <f t="shared" si="142"/>
        <v>0</v>
      </c>
      <c r="U410" s="3">
        <f t="shared" si="143"/>
        <v>0</v>
      </c>
      <c r="V410" s="3">
        <f t="shared" si="144"/>
        <v>0</v>
      </c>
      <c r="W410" s="3"/>
      <c r="X410" s="3">
        <f t="shared" si="140"/>
        <v>0</v>
      </c>
      <c r="Y410" s="10"/>
      <c r="Z410" s="4"/>
      <c r="AA410" s="4"/>
      <c r="AB410" s="5"/>
      <c r="AC410" s="5"/>
      <c r="AD410" s="5"/>
      <c r="AE410" s="5"/>
    </row>
    <row r="411" spans="1:31" ht="15.75" customHeight="1" x14ac:dyDescent="0.25">
      <c r="A411" s="5" t="s">
        <v>361</v>
      </c>
      <c r="B411" s="3"/>
      <c r="C411" s="3">
        <v>4702</v>
      </c>
      <c r="D411" s="3"/>
      <c r="E411" s="3"/>
      <c r="F411" s="3"/>
      <c r="G411" s="3">
        <v>21347.77</v>
      </c>
      <c r="H411" s="3">
        <v>17220.189999999999</v>
      </c>
      <c r="I411" s="3">
        <v>1000</v>
      </c>
      <c r="J411" s="3"/>
      <c r="K411" s="3"/>
      <c r="L411" s="3">
        <v>12850</v>
      </c>
      <c r="M411" s="3"/>
      <c r="N411" s="3"/>
      <c r="O411" s="42"/>
      <c r="P411" s="3"/>
      <c r="Q411" s="42"/>
      <c r="R411" s="48"/>
      <c r="S411" s="3"/>
      <c r="T411" s="3">
        <f t="shared" si="142"/>
        <v>0</v>
      </c>
      <c r="U411" s="3">
        <f t="shared" si="143"/>
        <v>0</v>
      </c>
      <c r="V411" s="3">
        <f t="shared" si="144"/>
        <v>0</v>
      </c>
      <c r="W411" s="3">
        <v>0</v>
      </c>
      <c r="X411" s="3">
        <f t="shared" si="140"/>
        <v>0</v>
      </c>
      <c r="Y411" s="10"/>
      <c r="Z411" s="4"/>
      <c r="AA411" s="4"/>
      <c r="AB411" s="5"/>
      <c r="AC411" s="5"/>
      <c r="AD411" s="5"/>
      <c r="AE411" s="5"/>
    </row>
    <row r="412" spans="1:31" ht="15.75" customHeight="1" x14ac:dyDescent="0.25">
      <c r="A412" s="5" t="s">
        <v>362</v>
      </c>
      <c r="B412" s="3">
        <v>7784.08</v>
      </c>
      <c r="C412" s="3">
        <v>2500</v>
      </c>
      <c r="D412" s="3">
        <v>2975</v>
      </c>
      <c r="E412" s="3">
        <v>4750</v>
      </c>
      <c r="F412" s="3">
        <v>7550</v>
      </c>
      <c r="G412" s="3">
        <v>8395.5</v>
      </c>
      <c r="H412" s="3">
        <v>8106.5</v>
      </c>
      <c r="I412" s="3">
        <v>7600</v>
      </c>
      <c r="J412" s="3">
        <v>2884</v>
      </c>
      <c r="K412" s="3"/>
      <c r="L412" s="3">
        <v>1811.89</v>
      </c>
      <c r="M412" s="3">
        <v>1050</v>
      </c>
      <c r="N412" s="3">
        <v>2220</v>
      </c>
      <c r="O412" s="42">
        <v>4005.96</v>
      </c>
      <c r="P412" s="3"/>
      <c r="Q412" s="42">
        <v>0</v>
      </c>
      <c r="R412" s="48">
        <v>3259.13</v>
      </c>
      <c r="S412" s="3">
        <v>0</v>
      </c>
      <c r="T412" s="3">
        <f t="shared" si="142"/>
        <v>3259.13</v>
      </c>
      <c r="U412" s="3">
        <f t="shared" si="143"/>
        <v>3259.13</v>
      </c>
      <c r="V412" s="3">
        <f t="shared" si="144"/>
        <v>3259.13</v>
      </c>
      <c r="W412" s="3">
        <v>0</v>
      </c>
      <c r="X412" s="3">
        <f t="shared" si="140"/>
        <v>0</v>
      </c>
      <c r="Y412" s="10"/>
      <c r="Z412" s="4"/>
      <c r="AA412" s="4"/>
      <c r="AB412" s="5"/>
      <c r="AC412" s="5"/>
      <c r="AD412" s="5"/>
      <c r="AE412" s="5"/>
    </row>
    <row r="413" spans="1:31" ht="15.75" customHeight="1" x14ac:dyDescent="0.25">
      <c r="A413" s="5" t="s">
        <v>363</v>
      </c>
      <c r="B413" s="3">
        <v>100</v>
      </c>
      <c r="C413" s="3">
        <v>15000</v>
      </c>
      <c r="D413" s="3">
        <v>3740</v>
      </c>
      <c r="E413" s="3"/>
      <c r="F413" s="3">
        <v>200</v>
      </c>
      <c r="G413" s="3"/>
      <c r="H413" s="3"/>
      <c r="I413" s="3"/>
      <c r="J413" s="3"/>
      <c r="K413" s="3"/>
      <c r="L413" s="3"/>
      <c r="M413" s="3">
        <v>1000</v>
      </c>
      <c r="N413" s="3"/>
      <c r="O413" s="42"/>
      <c r="P413" s="3"/>
      <c r="Q413" s="42"/>
      <c r="R413" s="48"/>
      <c r="S413" s="3"/>
      <c r="T413" s="3">
        <f t="shared" si="142"/>
        <v>0</v>
      </c>
      <c r="U413" s="3">
        <f t="shared" si="143"/>
        <v>0</v>
      </c>
      <c r="V413" s="3">
        <f t="shared" si="144"/>
        <v>0</v>
      </c>
      <c r="W413" s="3"/>
      <c r="X413" s="3">
        <f t="shared" ref="X413:X436" si="145">+W413-P413</f>
        <v>0</v>
      </c>
      <c r="Y413" s="10"/>
      <c r="Z413" s="4"/>
      <c r="AA413" s="4"/>
      <c r="AB413" s="5"/>
      <c r="AC413" s="5"/>
      <c r="AD413" s="5"/>
      <c r="AE413" s="5"/>
    </row>
    <row r="414" spans="1:31" ht="15.75" hidden="1" customHeight="1" x14ac:dyDescent="0.25">
      <c r="A414" s="5" t="s">
        <v>364</v>
      </c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42"/>
      <c r="P414" s="3"/>
      <c r="Q414" s="42"/>
      <c r="R414" s="48"/>
      <c r="S414" s="3"/>
      <c r="T414" s="3">
        <f t="shared" si="142"/>
        <v>0</v>
      </c>
      <c r="U414" s="3">
        <f t="shared" si="143"/>
        <v>0</v>
      </c>
      <c r="V414" s="3">
        <f t="shared" si="144"/>
        <v>0</v>
      </c>
      <c r="W414" s="3"/>
      <c r="X414" s="3">
        <f t="shared" si="145"/>
        <v>0</v>
      </c>
      <c r="Y414" s="10"/>
      <c r="Z414" s="4"/>
      <c r="AA414" s="4"/>
      <c r="AB414" s="5"/>
      <c r="AC414" s="5"/>
      <c r="AD414" s="5"/>
      <c r="AE414" s="5"/>
    </row>
    <row r="415" spans="1:31" ht="15.75" customHeight="1" x14ac:dyDescent="0.25">
      <c r="A415" s="5" t="s">
        <v>365</v>
      </c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>
        <v>2570</v>
      </c>
      <c r="M415" s="3"/>
      <c r="N415" s="3"/>
      <c r="O415" s="42"/>
      <c r="P415" s="3"/>
      <c r="Q415" s="42"/>
      <c r="R415" s="48"/>
      <c r="S415" s="3"/>
      <c r="T415" s="3">
        <f t="shared" si="142"/>
        <v>0</v>
      </c>
      <c r="U415" s="3">
        <f t="shared" si="143"/>
        <v>0</v>
      </c>
      <c r="V415" s="3">
        <f t="shared" si="144"/>
        <v>0</v>
      </c>
      <c r="W415" s="3">
        <v>0</v>
      </c>
      <c r="X415" s="3">
        <f t="shared" si="145"/>
        <v>0</v>
      </c>
      <c r="Y415" s="10"/>
      <c r="Z415" s="4"/>
      <c r="AA415" s="4"/>
      <c r="AB415" s="5"/>
      <c r="AC415" s="5"/>
      <c r="AD415" s="5"/>
      <c r="AE415" s="5"/>
    </row>
    <row r="416" spans="1:31" ht="15.75" customHeight="1" x14ac:dyDescent="0.25">
      <c r="A416" s="5" t="s">
        <v>366</v>
      </c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>
        <v>4999</v>
      </c>
      <c r="N416" s="3">
        <v>3333</v>
      </c>
      <c r="O416" s="42">
        <v>4999</v>
      </c>
      <c r="P416" s="3"/>
      <c r="Q416" s="42">
        <v>0</v>
      </c>
      <c r="R416" s="48">
        <v>9998</v>
      </c>
      <c r="S416" s="3">
        <v>0</v>
      </c>
      <c r="T416" s="3">
        <f t="shared" si="142"/>
        <v>9998</v>
      </c>
      <c r="U416" s="3">
        <f t="shared" si="143"/>
        <v>9998</v>
      </c>
      <c r="V416" s="3">
        <f t="shared" si="144"/>
        <v>9998</v>
      </c>
      <c r="W416" s="3">
        <v>0</v>
      </c>
      <c r="X416" s="3">
        <f t="shared" si="145"/>
        <v>0</v>
      </c>
      <c r="Y416" s="10"/>
      <c r="Z416" s="4"/>
      <c r="AA416" s="4"/>
      <c r="AB416" s="5"/>
      <c r="AC416" s="5"/>
      <c r="AD416" s="5"/>
      <c r="AE416" s="5"/>
    </row>
    <row r="417" spans="1:31" ht="15.75" hidden="1" customHeight="1" x14ac:dyDescent="0.25">
      <c r="A417" s="5" t="s">
        <v>367</v>
      </c>
      <c r="B417" s="3"/>
      <c r="C417" s="3"/>
      <c r="D417" s="3"/>
      <c r="E417" s="3"/>
      <c r="F417" s="3"/>
      <c r="G417" s="3"/>
      <c r="H417" s="3"/>
      <c r="I417" s="3"/>
      <c r="J417" s="3">
        <v>12733</v>
      </c>
      <c r="K417" s="3">
        <v>12733</v>
      </c>
      <c r="L417" s="3"/>
      <c r="M417" s="3"/>
      <c r="N417" s="3"/>
      <c r="O417" s="42"/>
      <c r="P417" s="3"/>
      <c r="Q417" s="42"/>
      <c r="R417" s="48"/>
      <c r="S417" s="3">
        <v>0</v>
      </c>
      <c r="T417" s="3">
        <f t="shared" si="142"/>
        <v>0</v>
      </c>
      <c r="U417" s="3">
        <f t="shared" si="143"/>
        <v>0</v>
      </c>
      <c r="V417" s="3">
        <f t="shared" si="144"/>
        <v>0</v>
      </c>
      <c r="W417" s="3"/>
      <c r="X417" s="3">
        <f t="shared" si="145"/>
        <v>0</v>
      </c>
      <c r="Y417" s="10"/>
      <c r="Z417" s="4"/>
      <c r="AA417" s="4"/>
      <c r="AB417" s="5"/>
      <c r="AC417" s="5"/>
      <c r="AD417" s="5"/>
      <c r="AE417" s="5"/>
    </row>
    <row r="418" spans="1:31" ht="15.75" customHeight="1" x14ac:dyDescent="0.25">
      <c r="A418" s="5" t="s">
        <v>368</v>
      </c>
      <c r="B418" s="3">
        <v>5000</v>
      </c>
      <c r="C418" s="3">
        <v>2663</v>
      </c>
      <c r="D418" s="3">
        <v>19686.47</v>
      </c>
      <c r="E418" s="3">
        <v>1671.03</v>
      </c>
      <c r="F418" s="3">
        <v>8750.43</v>
      </c>
      <c r="G418" s="3">
        <v>2038.93</v>
      </c>
      <c r="H418" s="3">
        <v>83301.87</v>
      </c>
      <c r="I418" s="3"/>
      <c r="J418" s="3"/>
      <c r="K418" s="3">
        <v>1899.52</v>
      </c>
      <c r="L418" s="3">
        <v>8936.8799999999992</v>
      </c>
      <c r="M418" s="3">
        <v>1066.9100000000001</v>
      </c>
      <c r="N418" s="3">
        <v>6099</v>
      </c>
      <c r="O418" s="42">
        <v>4136.8100000000004</v>
      </c>
      <c r="P418" s="3"/>
      <c r="Q418" s="42">
        <v>0</v>
      </c>
      <c r="R418" s="48">
        <v>1774</v>
      </c>
      <c r="S418" s="3">
        <f>1884-R418</f>
        <v>110</v>
      </c>
      <c r="T418" s="3">
        <f t="shared" si="142"/>
        <v>1884</v>
      </c>
      <c r="U418" s="3">
        <f t="shared" si="143"/>
        <v>1884</v>
      </c>
      <c r="V418" s="3">
        <f t="shared" si="144"/>
        <v>1884</v>
      </c>
      <c r="W418" s="3">
        <v>0</v>
      </c>
      <c r="X418" s="3">
        <f t="shared" si="145"/>
        <v>0</v>
      </c>
      <c r="Y418" s="10"/>
      <c r="Z418" s="4"/>
      <c r="AA418" s="4"/>
      <c r="AB418" s="5"/>
      <c r="AC418" s="5"/>
      <c r="AD418" s="5"/>
      <c r="AE418" s="5"/>
    </row>
    <row r="419" spans="1:31" ht="15.75" hidden="1" customHeight="1" x14ac:dyDescent="0.25">
      <c r="A419" s="5" t="s">
        <v>369</v>
      </c>
      <c r="B419" s="3"/>
      <c r="C419" s="3">
        <v>160</v>
      </c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42"/>
      <c r="P419" s="3"/>
      <c r="Q419" s="42"/>
      <c r="R419" s="48"/>
      <c r="S419" s="3"/>
      <c r="T419" s="3">
        <f t="shared" si="142"/>
        <v>0</v>
      </c>
      <c r="U419" s="3">
        <f t="shared" si="143"/>
        <v>0</v>
      </c>
      <c r="V419" s="3">
        <f t="shared" si="144"/>
        <v>0</v>
      </c>
      <c r="W419" s="3"/>
      <c r="X419" s="3">
        <f t="shared" si="145"/>
        <v>0</v>
      </c>
      <c r="Y419" s="10"/>
      <c r="Z419" s="4"/>
      <c r="AA419" s="4"/>
      <c r="AB419" s="5"/>
      <c r="AC419" s="5"/>
      <c r="AD419" s="5"/>
      <c r="AE419" s="5"/>
    </row>
    <row r="420" spans="1:31" ht="15.75" customHeight="1" x14ac:dyDescent="0.25">
      <c r="A420" s="5" t="s">
        <v>370</v>
      </c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>
        <v>27000</v>
      </c>
      <c r="O420" s="42"/>
      <c r="P420" s="3"/>
      <c r="Q420" s="42"/>
      <c r="R420" s="48"/>
      <c r="S420" s="3"/>
      <c r="T420" s="3"/>
      <c r="U420" s="3"/>
      <c r="V420" s="3"/>
      <c r="W420" s="3">
        <v>0</v>
      </c>
      <c r="X420" s="3">
        <f t="shared" si="145"/>
        <v>0</v>
      </c>
      <c r="Y420" s="10"/>
      <c r="Z420" s="4"/>
      <c r="AA420" s="4"/>
      <c r="AB420" s="5"/>
      <c r="AC420" s="5"/>
      <c r="AD420" s="5"/>
      <c r="AE420" s="5"/>
    </row>
    <row r="421" spans="1:31" ht="15.75" customHeight="1" x14ac:dyDescent="0.25">
      <c r="A421" s="5" t="s">
        <v>371</v>
      </c>
      <c r="B421" s="3">
        <v>13000</v>
      </c>
      <c r="C421" s="3"/>
      <c r="D421" s="3">
        <v>375</v>
      </c>
      <c r="E421" s="3"/>
      <c r="F421" s="3">
        <v>500</v>
      </c>
      <c r="G421" s="3"/>
      <c r="H421" s="3">
        <v>750</v>
      </c>
      <c r="I421" s="3">
        <v>17934.05</v>
      </c>
      <c r="J421" s="3">
        <v>11212.88</v>
      </c>
      <c r="K421" s="3"/>
      <c r="L421" s="3">
        <v>500</v>
      </c>
      <c r="M421" s="3"/>
      <c r="N421" s="3">
        <v>0</v>
      </c>
      <c r="O421" s="42"/>
      <c r="P421" s="3"/>
      <c r="Q421" s="42"/>
      <c r="R421" s="48"/>
      <c r="S421" s="3"/>
      <c r="T421" s="3">
        <f t="shared" ref="T421:T454" si="146">+R421+S421</f>
        <v>0</v>
      </c>
      <c r="U421" s="3">
        <f t="shared" ref="U421:U438" si="147">+T421-P421</f>
        <v>0</v>
      </c>
      <c r="V421" s="3">
        <f t="shared" ref="V421:V454" si="148">+T421-Q421</f>
        <v>0</v>
      </c>
      <c r="W421" s="3">
        <v>0</v>
      </c>
      <c r="X421" s="3">
        <f t="shared" si="145"/>
        <v>0</v>
      </c>
      <c r="Y421" s="10"/>
      <c r="Z421" s="4"/>
      <c r="AA421" s="4"/>
      <c r="AB421" s="5"/>
      <c r="AC421" s="5"/>
      <c r="AD421" s="5"/>
      <c r="AE421" s="5"/>
    </row>
    <row r="422" spans="1:31" ht="15.75" customHeight="1" x14ac:dyDescent="0.25">
      <c r="A422" s="5" t="s">
        <v>372</v>
      </c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>
        <v>10000</v>
      </c>
      <c r="N422" s="3"/>
      <c r="O422" s="42"/>
      <c r="P422" s="3"/>
      <c r="Q422" s="42"/>
      <c r="R422" s="48"/>
      <c r="S422" s="3"/>
      <c r="T422" s="3">
        <f t="shared" si="146"/>
        <v>0</v>
      </c>
      <c r="U422" s="3">
        <f t="shared" si="147"/>
        <v>0</v>
      </c>
      <c r="V422" s="3">
        <f t="shared" si="148"/>
        <v>0</v>
      </c>
      <c r="W422" s="3">
        <v>0</v>
      </c>
      <c r="X422" s="3">
        <f t="shared" si="145"/>
        <v>0</v>
      </c>
      <c r="Y422" s="10"/>
      <c r="Z422" s="4"/>
      <c r="AA422" s="4"/>
      <c r="AB422" s="5"/>
      <c r="AC422" s="5"/>
      <c r="AD422" s="5"/>
      <c r="AE422" s="5"/>
    </row>
    <row r="423" spans="1:31" ht="15.75" customHeight="1" x14ac:dyDescent="0.25">
      <c r="A423" s="5" t="s">
        <v>373</v>
      </c>
      <c r="B423" s="3">
        <v>18929.14</v>
      </c>
      <c r="C423" s="3">
        <v>19742</v>
      </c>
      <c r="D423" s="3">
        <v>19539.490000000002</v>
      </c>
      <c r="E423" s="3">
        <v>19756.23</v>
      </c>
      <c r="F423" s="3">
        <v>20344.16</v>
      </c>
      <c r="G423" s="3">
        <v>21771.919999999998</v>
      </c>
      <c r="H423" s="3">
        <v>22535.919999999998</v>
      </c>
      <c r="I423" s="3">
        <v>23119.89</v>
      </c>
      <c r="J423" s="3">
        <v>23795.55</v>
      </c>
      <c r="K423" s="3">
        <v>25835.73</v>
      </c>
      <c r="L423" s="3">
        <v>24211.41</v>
      </c>
      <c r="M423" s="3">
        <v>21879.360000000001</v>
      </c>
      <c r="N423" s="3">
        <v>17912</v>
      </c>
      <c r="O423" s="42">
        <v>19509.09</v>
      </c>
      <c r="P423" s="3">
        <f>25000+8000</f>
        <v>33000</v>
      </c>
      <c r="Q423" s="42">
        <v>33000</v>
      </c>
      <c r="R423" s="48">
        <v>0</v>
      </c>
      <c r="S423" s="3">
        <v>33000</v>
      </c>
      <c r="T423" s="3">
        <f t="shared" si="146"/>
        <v>33000</v>
      </c>
      <c r="U423" s="3">
        <f t="shared" si="147"/>
        <v>0</v>
      </c>
      <c r="V423" s="3">
        <f t="shared" si="148"/>
        <v>0</v>
      </c>
      <c r="W423" s="3">
        <v>33000</v>
      </c>
      <c r="X423" s="3">
        <f t="shared" si="145"/>
        <v>0</v>
      </c>
      <c r="Y423" s="10">
        <f>+X423/P423</f>
        <v>0</v>
      </c>
      <c r="Z423" s="4"/>
      <c r="AA423" s="4"/>
      <c r="AB423" s="5"/>
      <c r="AC423" s="5"/>
      <c r="AD423" s="5"/>
      <c r="AE423" s="5"/>
    </row>
    <row r="424" spans="1:31" ht="15.75" hidden="1" customHeight="1" x14ac:dyDescent="0.25">
      <c r="A424" s="5" t="s">
        <v>374</v>
      </c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42"/>
      <c r="P424" s="3"/>
      <c r="Q424" s="42"/>
      <c r="R424" s="48"/>
      <c r="S424" s="3"/>
      <c r="T424" s="3">
        <f t="shared" si="146"/>
        <v>0</v>
      </c>
      <c r="U424" s="3">
        <f t="shared" si="147"/>
        <v>0</v>
      </c>
      <c r="V424" s="3">
        <f t="shared" si="148"/>
        <v>0</v>
      </c>
      <c r="W424" s="3"/>
      <c r="X424" s="3">
        <f t="shared" si="145"/>
        <v>0</v>
      </c>
      <c r="Y424" s="10"/>
      <c r="Z424" s="4"/>
      <c r="AA424" s="4"/>
      <c r="AB424" s="5"/>
      <c r="AC424" s="5"/>
      <c r="AD424" s="5"/>
      <c r="AE424" s="5"/>
    </row>
    <row r="425" spans="1:31" ht="15.75" customHeight="1" x14ac:dyDescent="0.25">
      <c r="A425" s="5" t="s">
        <v>375</v>
      </c>
      <c r="B425" s="3">
        <v>12733</v>
      </c>
      <c r="C425" s="3">
        <v>12733</v>
      </c>
      <c r="D425" s="3">
        <v>15247</v>
      </c>
      <c r="E425" s="3">
        <v>16086</v>
      </c>
      <c r="F425" s="3">
        <v>16090</v>
      </c>
      <c r="G425" s="3">
        <v>16099</v>
      </c>
      <c r="H425" s="3">
        <v>15768</v>
      </c>
      <c r="I425" s="3">
        <v>12733</v>
      </c>
      <c r="J425" s="3"/>
      <c r="K425" s="3"/>
      <c r="L425" s="3">
        <v>12733</v>
      </c>
      <c r="M425" s="3">
        <v>12733</v>
      </c>
      <c r="N425" s="3">
        <v>12733</v>
      </c>
      <c r="O425" s="42">
        <v>13624</v>
      </c>
      <c r="P425" s="3">
        <v>12733</v>
      </c>
      <c r="Q425" s="42">
        <v>12733</v>
      </c>
      <c r="R425" s="48">
        <v>12733</v>
      </c>
      <c r="S425" s="3">
        <v>0</v>
      </c>
      <c r="T425" s="3">
        <f t="shared" si="146"/>
        <v>12733</v>
      </c>
      <c r="U425" s="3">
        <f t="shared" si="147"/>
        <v>0</v>
      </c>
      <c r="V425" s="3">
        <f t="shared" si="148"/>
        <v>0</v>
      </c>
      <c r="W425" s="3">
        <v>12733</v>
      </c>
      <c r="X425" s="3">
        <f t="shared" si="145"/>
        <v>0</v>
      </c>
      <c r="Y425" s="10">
        <f>+X425/P425</f>
        <v>0</v>
      </c>
      <c r="Z425" s="4"/>
      <c r="AA425" s="4"/>
      <c r="AB425" s="5"/>
      <c r="AC425" s="5"/>
      <c r="AD425" s="5"/>
      <c r="AE425" s="5"/>
    </row>
    <row r="426" spans="1:31" ht="15.75" customHeight="1" x14ac:dyDescent="0.25">
      <c r="A426" s="5" t="s">
        <v>376</v>
      </c>
      <c r="B426" s="3">
        <v>25623.86</v>
      </c>
      <c r="C426" s="3">
        <v>35693</v>
      </c>
      <c r="D426" s="3">
        <v>36809.730000000003</v>
      </c>
      <c r="E426" s="3">
        <v>27490.18</v>
      </c>
      <c r="F426" s="3">
        <v>31589.55</v>
      </c>
      <c r="G426" s="3">
        <v>37288.730000000003</v>
      </c>
      <c r="H426" s="3">
        <v>36589.699999999997</v>
      </c>
      <c r="I426" s="3">
        <v>40553.879999999997</v>
      </c>
      <c r="J426" s="3">
        <v>42496.03</v>
      </c>
      <c r="K426" s="3">
        <v>72088</v>
      </c>
      <c r="L426" s="3">
        <v>83078.320000000007</v>
      </c>
      <c r="M426" s="3">
        <v>94972.31</v>
      </c>
      <c r="N426" s="3">
        <v>41302</v>
      </c>
      <c r="O426" s="42">
        <v>40454.800000000003</v>
      </c>
      <c r="P426" s="3">
        <v>40000</v>
      </c>
      <c r="Q426" s="42">
        <v>40000</v>
      </c>
      <c r="R426" s="48">
        <v>20046.23</v>
      </c>
      <c r="S426" s="3">
        <v>20000</v>
      </c>
      <c r="T426" s="3">
        <f t="shared" si="146"/>
        <v>40046.229999999996</v>
      </c>
      <c r="U426" s="3">
        <f t="shared" si="147"/>
        <v>46.229999999995925</v>
      </c>
      <c r="V426" s="3">
        <f t="shared" si="148"/>
        <v>46.229999999995925</v>
      </c>
      <c r="W426" s="3">
        <v>40000</v>
      </c>
      <c r="X426" s="3">
        <f t="shared" si="145"/>
        <v>0</v>
      </c>
      <c r="Y426" s="10">
        <f>+X426/P426</f>
        <v>0</v>
      </c>
      <c r="Z426" s="4"/>
      <c r="AA426" s="4"/>
      <c r="AB426" s="5"/>
      <c r="AC426" s="5"/>
      <c r="AD426" s="5"/>
      <c r="AE426" s="5"/>
    </row>
    <row r="427" spans="1:31" ht="15.75" customHeight="1" x14ac:dyDescent="0.25">
      <c r="A427" s="5" t="s">
        <v>377</v>
      </c>
      <c r="B427" s="3">
        <v>7265</v>
      </c>
      <c r="C427" s="3"/>
      <c r="D427" s="3">
        <v>1561.79</v>
      </c>
      <c r="E427" s="3">
        <v>6000</v>
      </c>
      <c r="F427" s="3">
        <v>1090</v>
      </c>
      <c r="G427" s="3">
        <v>2189.9899999999998</v>
      </c>
      <c r="H427" s="3">
        <v>4904.79</v>
      </c>
      <c r="I427" s="3">
        <v>8900</v>
      </c>
      <c r="J427" s="3"/>
      <c r="K427" s="3">
        <v>603.08000000000004</v>
      </c>
      <c r="L427" s="3">
        <v>4517.17</v>
      </c>
      <c r="M427" s="3"/>
      <c r="N427" s="3"/>
      <c r="O427" s="42">
        <v>11629</v>
      </c>
      <c r="P427" s="3"/>
      <c r="Q427" s="42"/>
      <c r="R427" s="48"/>
      <c r="S427" s="3"/>
      <c r="T427" s="3">
        <f t="shared" si="146"/>
        <v>0</v>
      </c>
      <c r="U427" s="3">
        <f t="shared" si="147"/>
        <v>0</v>
      </c>
      <c r="V427" s="3">
        <f t="shared" si="148"/>
        <v>0</v>
      </c>
      <c r="W427" s="3"/>
      <c r="X427" s="3">
        <f t="shared" si="145"/>
        <v>0</v>
      </c>
      <c r="Y427" s="10"/>
      <c r="Z427" s="4"/>
      <c r="AA427" s="4"/>
      <c r="AB427" s="5"/>
      <c r="AC427" s="5"/>
      <c r="AD427" s="5"/>
      <c r="AE427" s="5"/>
    </row>
    <row r="428" spans="1:31" ht="15.75" customHeight="1" x14ac:dyDescent="0.25">
      <c r="A428" s="5" t="s">
        <v>378</v>
      </c>
      <c r="B428" s="3">
        <f>2489.44-667</f>
        <v>1822.44</v>
      </c>
      <c r="C428" s="3"/>
      <c r="D428" s="3"/>
      <c r="E428" s="3"/>
      <c r="F428" s="3"/>
      <c r="G428" s="3"/>
      <c r="H428" s="3">
        <v>75000</v>
      </c>
      <c r="I428" s="3"/>
      <c r="J428" s="3"/>
      <c r="K428" s="3"/>
      <c r="L428" s="3"/>
      <c r="M428" s="3">
        <v>40504.67</v>
      </c>
      <c r="N428" s="3"/>
      <c r="O428" s="42"/>
      <c r="P428" s="3"/>
      <c r="Q428" s="42"/>
      <c r="R428" s="48"/>
      <c r="S428" s="3"/>
      <c r="T428" s="3">
        <f t="shared" si="146"/>
        <v>0</v>
      </c>
      <c r="U428" s="3">
        <f t="shared" si="147"/>
        <v>0</v>
      </c>
      <c r="V428" s="3">
        <f t="shared" si="148"/>
        <v>0</v>
      </c>
      <c r="W428" s="3"/>
      <c r="X428" s="3">
        <f t="shared" si="145"/>
        <v>0</v>
      </c>
      <c r="Y428" s="10"/>
      <c r="Z428" s="4"/>
      <c r="AA428" s="4"/>
      <c r="AB428" s="5"/>
      <c r="AC428" s="5"/>
      <c r="AD428" s="5"/>
      <c r="AE428" s="5"/>
    </row>
    <row r="429" spans="1:31" ht="15.75" customHeight="1" x14ac:dyDescent="0.25">
      <c r="A429" s="5" t="s">
        <v>379</v>
      </c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>
        <v>55</v>
      </c>
      <c r="N429" s="3">
        <v>6289</v>
      </c>
      <c r="O429" s="42">
        <v>173932.66</v>
      </c>
      <c r="P429" s="3"/>
      <c r="Q429" s="42">
        <v>0</v>
      </c>
      <c r="R429" s="48">
        <v>4212.8999999999996</v>
      </c>
      <c r="S429" s="3">
        <v>17325</v>
      </c>
      <c r="T429" s="3">
        <f t="shared" si="146"/>
        <v>21537.9</v>
      </c>
      <c r="U429" s="3">
        <f t="shared" si="147"/>
        <v>21537.9</v>
      </c>
      <c r="V429" s="3">
        <f t="shared" si="148"/>
        <v>21537.9</v>
      </c>
      <c r="W429" s="3"/>
      <c r="X429" s="3">
        <f t="shared" si="145"/>
        <v>0</v>
      </c>
      <c r="Y429" s="10"/>
      <c r="Z429" s="69"/>
      <c r="AA429" s="4"/>
      <c r="AB429" s="5"/>
      <c r="AC429" s="5"/>
      <c r="AD429" s="5"/>
      <c r="AE429" s="5"/>
    </row>
    <row r="430" spans="1:31" ht="15.75" customHeight="1" x14ac:dyDescent="0.25">
      <c r="A430" s="5" t="s">
        <v>380</v>
      </c>
      <c r="B430" s="3"/>
      <c r="C430" s="3"/>
      <c r="D430" s="3"/>
      <c r="E430" s="3"/>
      <c r="F430" s="3"/>
      <c r="G430" s="3"/>
      <c r="H430" s="3"/>
      <c r="I430" s="3"/>
      <c r="J430" s="3"/>
      <c r="K430" s="3">
        <v>11436</v>
      </c>
      <c r="L430" s="3"/>
      <c r="M430" s="3"/>
      <c r="N430" s="3"/>
      <c r="O430" s="42"/>
      <c r="P430" s="3"/>
      <c r="Q430" s="42"/>
      <c r="R430" s="48"/>
      <c r="S430" s="3"/>
      <c r="T430" s="3">
        <f t="shared" si="146"/>
        <v>0</v>
      </c>
      <c r="U430" s="3">
        <f t="shared" si="147"/>
        <v>0</v>
      </c>
      <c r="V430" s="3">
        <f t="shared" si="148"/>
        <v>0</v>
      </c>
      <c r="W430" s="3"/>
      <c r="X430" s="3">
        <f t="shared" si="145"/>
        <v>0</v>
      </c>
      <c r="Y430" s="10"/>
      <c r="Z430" s="4"/>
      <c r="AA430" s="4"/>
      <c r="AB430" s="5"/>
      <c r="AC430" s="5"/>
      <c r="AD430" s="5"/>
      <c r="AE430" s="5"/>
    </row>
    <row r="431" spans="1:31" ht="15.75" customHeight="1" x14ac:dyDescent="0.25">
      <c r="A431" s="8" t="s">
        <v>344</v>
      </c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42"/>
      <c r="P431" s="3"/>
      <c r="Q431" s="42"/>
      <c r="R431" s="48"/>
      <c r="S431" s="3"/>
      <c r="T431" s="3"/>
      <c r="U431" s="3"/>
      <c r="V431" s="3"/>
      <c r="W431" s="3"/>
      <c r="X431" s="3"/>
      <c r="Y431" s="10"/>
      <c r="Z431" s="4"/>
      <c r="AA431" s="4"/>
      <c r="AB431" s="5"/>
      <c r="AC431" s="5"/>
      <c r="AD431" s="5"/>
      <c r="AE431" s="5"/>
    </row>
    <row r="432" spans="1:31" ht="15.75" customHeight="1" x14ac:dyDescent="0.25">
      <c r="A432" s="5" t="s">
        <v>381</v>
      </c>
      <c r="B432" s="3"/>
      <c r="C432" s="3"/>
      <c r="D432" s="3"/>
      <c r="E432" s="3"/>
      <c r="F432" s="3"/>
      <c r="G432" s="3">
        <v>4979.9799999999996</v>
      </c>
      <c r="H432" s="3"/>
      <c r="I432" s="3"/>
      <c r="J432" s="3"/>
      <c r="K432" s="3"/>
      <c r="L432" s="3"/>
      <c r="M432" s="3">
        <v>10431.959999999999</v>
      </c>
      <c r="N432" s="3"/>
      <c r="O432" s="42"/>
      <c r="P432" s="3"/>
      <c r="Q432" s="42"/>
      <c r="R432" s="48"/>
      <c r="S432" s="3"/>
      <c r="T432" s="3">
        <f t="shared" si="146"/>
        <v>0</v>
      </c>
      <c r="U432" s="3">
        <f t="shared" si="147"/>
        <v>0</v>
      </c>
      <c r="V432" s="3">
        <f t="shared" si="148"/>
        <v>0</v>
      </c>
      <c r="W432" s="3"/>
      <c r="X432" s="3">
        <f t="shared" si="145"/>
        <v>0</v>
      </c>
      <c r="Y432" s="10"/>
      <c r="Z432" s="4"/>
      <c r="AA432" s="4"/>
      <c r="AB432" s="5"/>
      <c r="AC432" s="5"/>
      <c r="AD432" s="5"/>
      <c r="AE432" s="5"/>
    </row>
    <row r="433" spans="1:31" ht="15.75" hidden="1" customHeight="1" x14ac:dyDescent="0.25">
      <c r="A433" s="5" t="s">
        <v>382</v>
      </c>
      <c r="B433" s="3"/>
      <c r="C433" s="3">
        <v>753</v>
      </c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42"/>
      <c r="P433" s="3"/>
      <c r="Q433" s="42"/>
      <c r="R433" s="48"/>
      <c r="S433" s="3"/>
      <c r="T433" s="3">
        <f t="shared" si="146"/>
        <v>0</v>
      </c>
      <c r="U433" s="3">
        <f t="shared" si="147"/>
        <v>0</v>
      </c>
      <c r="V433" s="3">
        <f t="shared" si="148"/>
        <v>0</v>
      </c>
      <c r="W433" s="3"/>
      <c r="X433" s="3">
        <f t="shared" si="145"/>
        <v>0</v>
      </c>
      <c r="Y433" s="10"/>
      <c r="Z433" s="4"/>
      <c r="AA433" s="4"/>
      <c r="AB433" s="5"/>
      <c r="AC433" s="5"/>
      <c r="AD433" s="5"/>
      <c r="AE433" s="5"/>
    </row>
    <row r="434" spans="1:31" ht="15.75" customHeight="1" x14ac:dyDescent="0.25">
      <c r="A434" s="5" t="s">
        <v>383</v>
      </c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42">
        <v>144892.57</v>
      </c>
      <c r="P434" s="3"/>
      <c r="Q434" s="42">
        <v>0</v>
      </c>
      <c r="R434" s="48">
        <v>55107.43</v>
      </c>
      <c r="S434" s="3"/>
      <c r="T434" s="3">
        <f t="shared" si="146"/>
        <v>55107.43</v>
      </c>
      <c r="U434" s="3">
        <f t="shared" si="147"/>
        <v>55107.43</v>
      </c>
      <c r="V434" s="3">
        <f t="shared" si="148"/>
        <v>55107.43</v>
      </c>
      <c r="W434" s="3"/>
      <c r="X434" s="3">
        <f t="shared" si="145"/>
        <v>0</v>
      </c>
      <c r="Y434" s="10"/>
      <c r="Z434" s="4"/>
      <c r="AA434" s="4"/>
      <c r="AB434" s="5"/>
      <c r="AC434" s="5"/>
      <c r="AD434" s="5"/>
      <c r="AE434" s="5"/>
    </row>
    <row r="435" spans="1:31" ht="15.75" customHeight="1" x14ac:dyDescent="0.25">
      <c r="A435" s="5" t="s">
        <v>384</v>
      </c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>
        <v>2665</v>
      </c>
      <c r="O435" s="42"/>
      <c r="P435" s="3"/>
      <c r="Q435" s="42"/>
      <c r="R435" s="48"/>
      <c r="S435" s="3"/>
      <c r="T435" s="3">
        <f t="shared" si="146"/>
        <v>0</v>
      </c>
      <c r="U435" s="3">
        <f t="shared" si="147"/>
        <v>0</v>
      </c>
      <c r="V435" s="3">
        <f t="shared" si="148"/>
        <v>0</v>
      </c>
      <c r="W435" s="3"/>
      <c r="X435" s="3">
        <f t="shared" si="145"/>
        <v>0</v>
      </c>
      <c r="Y435" s="10"/>
      <c r="Z435" s="4"/>
      <c r="AA435" s="4"/>
      <c r="AB435" s="5"/>
      <c r="AC435" s="5"/>
      <c r="AD435" s="5"/>
      <c r="AE435" s="5"/>
    </row>
    <row r="436" spans="1:31" ht="15.75" customHeight="1" x14ac:dyDescent="0.25">
      <c r="A436" s="5" t="s">
        <v>448</v>
      </c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42"/>
      <c r="P436" s="3"/>
      <c r="Q436" s="42">
        <v>400000</v>
      </c>
      <c r="R436" s="48"/>
      <c r="S436" s="3">
        <f>400000-147028</f>
        <v>252972</v>
      </c>
      <c r="T436" s="3">
        <f t="shared" ref="T436" si="149">+R436+S436</f>
        <v>252972</v>
      </c>
      <c r="U436" s="3">
        <f t="shared" si="147"/>
        <v>252972</v>
      </c>
      <c r="V436" s="70">
        <f t="shared" si="148"/>
        <v>-147028</v>
      </c>
      <c r="W436" s="3">
        <v>147028</v>
      </c>
      <c r="X436" s="3">
        <f t="shared" si="145"/>
        <v>147028</v>
      </c>
      <c r="Y436" s="10"/>
      <c r="Z436" s="57"/>
      <c r="AA436" s="4"/>
      <c r="AB436" s="5"/>
      <c r="AC436" s="5"/>
      <c r="AD436" s="5"/>
      <c r="AE436" s="5"/>
    </row>
    <row r="437" spans="1:31" ht="15.75" customHeight="1" x14ac:dyDescent="0.25">
      <c r="A437" s="34" t="s">
        <v>415</v>
      </c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42"/>
      <c r="P437" s="3"/>
      <c r="Q437" s="42"/>
      <c r="R437" s="48">
        <v>5950</v>
      </c>
      <c r="S437" s="3"/>
      <c r="T437" s="3">
        <f>+R437+S437</f>
        <v>5950</v>
      </c>
      <c r="U437" s="3">
        <f t="shared" si="147"/>
        <v>5950</v>
      </c>
      <c r="V437" s="3">
        <f t="shared" si="148"/>
        <v>5950</v>
      </c>
      <c r="W437" s="3"/>
      <c r="X437" s="3"/>
      <c r="Y437" s="10"/>
      <c r="Z437" s="57"/>
      <c r="AA437" s="4"/>
      <c r="AB437" s="5"/>
      <c r="AC437" s="5"/>
      <c r="AD437" s="5"/>
      <c r="AE437" s="5"/>
    </row>
    <row r="438" spans="1:31" ht="15.75" customHeight="1" x14ac:dyDescent="0.25">
      <c r="A438" s="34" t="s">
        <v>416</v>
      </c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42"/>
      <c r="P438" s="3"/>
      <c r="Q438" s="42"/>
      <c r="R438" s="48">
        <v>14276.54</v>
      </c>
      <c r="S438" s="3"/>
      <c r="T438" s="3">
        <f>+R438+S438</f>
        <v>14276.54</v>
      </c>
      <c r="U438" s="3">
        <f t="shared" si="147"/>
        <v>14276.54</v>
      </c>
      <c r="V438" s="3">
        <f t="shared" si="148"/>
        <v>14276.54</v>
      </c>
      <c r="W438" s="3"/>
      <c r="X438" s="3"/>
      <c r="Y438" s="10"/>
      <c r="Z438" s="57"/>
      <c r="AA438" s="4"/>
      <c r="AB438" s="5"/>
      <c r="AC438" s="5"/>
      <c r="AD438" s="5"/>
      <c r="AE438" s="5"/>
    </row>
    <row r="439" spans="1:31" ht="15.75" customHeight="1" x14ac:dyDescent="0.25">
      <c r="A439" s="5" t="s">
        <v>385</v>
      </c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>
        <v>2700</v>
      </c>
      <c r="N439" s="3">
        <v>59322</v>
      </c>
      <c r="O439" s="42">
        <v>57000</v>
      </c>
      <c r="P439" s="3">
        <v>60000</v>
      </c>
      <c r="Q439" s="42">
        <v>60000</v>
      </c>
      <c r="R439" s="48">
        <v>472.61</v>
      </c>
      <c r="S439" s="3"/>
      <c r="T439" s="3">
        <f t="shared" si="146"/>
        <v>472.61</v>
      </c>
      <c r="U439" s="3">
        <f t="shared" ref="U439:U454" si="150">+T439-P439</f>
        <v>-59527.39</v>
      </c>
      <c r="V439" s="3">
        <f t="shared" si="148"/>
        <v>-59527.39</v>
      </c>
      <c r="W439" s="3">
        <v>60000</v>
      </c>
      <c r="X439" s="3">
        <f t="shared" ref="X439:X454" si="151">+W439-P439</f>
        <v>0</v>
      </c>
      <c r="Y439" s="10">
        <f>+X439/P439</f>
        <v>0</v>
      </c>
      <c r="Z439" s="4"/>
      <c r="AA439" s="4"/>
      <c r="AB439" s="5"/>
      <c r="AC439" s="5"/>
      <c r="AD439" s="5"/>
      <c r="AE439" s="5"/>
    </row>
    <row r="440" spans="1:31" ht="15.75" customHeight="1" x14ac:dyDescent="0.25">
      <c r="A440" s="5" t="s">
        <v>386</v>
      </c>
      <c r="B440" s="3">
        <v>4433.41</v>
      </c>
      <c r="C440" s="3">
        <v>11280</v>
      </c>
      <c r="D440" s="3">
        <v>12251.3</v>
      </c>
      <c r="E440" s="3">
        <v>12903.2</v>
      </c>
      <c r="F440" s="3">
        <v>10968.96</v>
      </c>
      <c r="G440" s="3">
        <v>4233.34</v>
      </c>
      <c r="H440" s="3">
        <v>12949</v>
      </c>
      <c r="I440" s="3">
        <v>8540</v>
      </c>
      <c r="J440" s="3">
        <v>5882.78</v>
      </c>
      <c r="K440" s="3">
        <v>7529.53</v>
      </c>
      <c r="L440" s="3">
        <v>8808.8700000000008</v>
      </c>
      <c r="M440" s="3">
        <v>5860.68</v>
      </c>
      <c r="N440" s="3">
        <v>6031</v>
      </c>
      <c r="O440" s="42">
        <v>12626.48</v>
      </c>
      <c r="P440" s="3">
        <v>10500</v>
      </c>
      <c r="Q440" s="42">
        <v>10500</v>
      </c>
      <c r="R440" s="48">
        <v>4974.5</v>
      </c>
      <c r="S440" s="3">
        <f>+Q440-R440</f>
        <v>5525.5</v>
      </c>
      <c r="T440" s="3">
        <f t="shared" si="146"/>
        <v>10500</v>
      </c>
      <c r="U440" s="3">
        <f t="shared" si="150"/>
        <v>0</v>
      </c>
      <c r="V440" s="3">
        <f t="shared" si="148"/>
        <v>0</v>
      </c>
      <c r="W440" s="3">
        <v>10500</v>
      </c>
      <c r="X440" s="3">
        <f t="shared" si="151"/>
        <v>0</v>
      </c>
      <c r="Y440" s="10">
        <f>+X440/P440</f>
        <v>0</v>
      </c>
      <c r="Z440" s="4"/>
      <c r="AA440" s="4"/>
      <c r="AB440" s="5"/>
      <c r="AC440" s="5"/>
      <c r="AD440" s="5"/>
      <c r="AE440" s="5"/>
    </row>
    <row r="441" spans="1:31" ht="15.75" hidden="1" customHeight="1" x14ac:dyDescent="0.25">
      <c r="A441" s="5" t="s">
        <v>387</v>
      </c>
      <c r="B441" s="3"/>
      <c r="C441" s="3"/>
      <c r="D441" s="3"/>
      <c r="E441" s="3"/>
      <c r="F441" s="3"/>
      <c r="G441" s="3">
        <v>3238.11</v>
      </c>
      <c r="H441" s="3"/>
      <c r="I441" s="3"/>
      <c r="J441" s="3"/>
      <c r="K441" s="3"/>
      <c r="L441" s="3"/>
      <c r="M441" s="3"/>
      <c r="N441" s="3"/>
      <c r="O441" s="42"/>
      <c r="P441" s="3"/>
      <c r="Q441" s="42"/>
      <c r="R441" s="48"/>
      <c r="S441" s="3"/>
      <c r="T441" s="3">
        <f t="shared" si="146"/>
        <v>0</v>
      </c>
      <c r="U441" s="3">
        <f t="shared" si="150"/>
        <v>0</v>
      </c>
      <c r="V441" s="3">
        <f t="shared" si="148"/>
        <v>0</v>
      </c>
      <c r="W441" s="3"/>
      <c r="X441" s="3">
        <f t="shared" si="151"/>
        <v>0</v>
      </c>
      <c r="Y441" s="10"/>
      <c r="Z441" s="4"/>
      <c r="AA441" s="4"/>
      <c r="AB441" s="5"/>
      <c r="AC441" s="5"/>
      <c r="AD441" s="5"/>
      <c r="AE441" s="5"/>
    </row>
    <row r="442" spans="1:31" ht="15.75" customHeight="1" x14ac:dyDescent="0.25">
      <c r="A442" s="5" t="s">
        <v>388</v>
      </c>
      <c r="B442" s="3"/>
      <c r="C442" s="3"/>
      <c r="D442" s="3">
        <v>2785</v>
      </c>
      <c r="E442" s="3"/>
      <c r="F442" s="3">
        <v>1000</v>
      </c>
      <c r="G442" s="3"/>
      <c r="H442" s="3"/>
      <c r="I442" s="3">
        <v>2000</v>
      </c>
      <c r="J442" s="3">
        <v>2000</v>
      </c>
      <c r="K442" s="3">
        <v>2000</v>
      </c>
      <c r="L442" s="3">
        <v>5000</v>
      </c>
      <c r="M442" s="3">
        <v>5000</v>
      </c>
      <c r="N442" s="3">
        <v>33744</v>
      </c>
      <c r="O442" s="42">
        <v>0</v>
      </c>
      <c r="P442" s="3">
        <v>5000</v>
      </c>
      <c r="Q442" s="42">
        <v>5000</v>
      </c>
      <c r="R442" s="48">
        <v>0</v>
      </c>
      <c r="S442" s="3">
        <v>5000</v>
      </c>
      <c r="T442" s="3">
        <f t="shared" si="146"/>
        <v>5000</v>
      </c>
      <c r="U442" s="3">
        <f t="shared" si="150"/>
        <v>0</v>
      </c>
      <c r="V442" s="3">
        <f t="shared" si="148"/>
        <v>0</v>
      </c>
      <c r="W442" s="3">
        <v>5000</v>
      </c>
      <c r="X442" s="3">
        <f t="shared" si="151"/>
        <v>0</v>
      </c>
      <c r="Y442" s="10">
        <f>+X442/P442</f>
        <v>0</v>
      </c>
      <c r="Z442" s="57"/>
      <c r="AA442" s="4"/>
      <c r="AB442" s="5"/>
      <c r="AC442" s="5"/>
      <c r="AD442" s="5"/>
      <c r="AE442" s="5"/>
    </row>
    <row r="443" spans="1:31" ht="15.75" customHeight="1" x14ac:dyDescent="0.25">
      <c r="A443" s="5" t="s">
        <v>389</v>
      </c>
      <c r="B443" s="3">
        <v>28198.41</v>
      </c>
      <c r="C443" s="3">
        <v>912</v>
      </c>
      <c r="D443" s="3"/>
      <c r="E443" s="3">
        <v>2472.87</v>
      </c>
      <c r="F443" s="3"/>
      <c r="G443" s="3"/>
      <c r="H443" s="3"/>
      <c r="I443" s="3"/>
      <c r="J443" s="3">
        <v>1679</v>
      </c>
      <c r="K443" s="3"/>
      <c r="L443" s="3"/>
      <c r="M443" s="3"/>
      <c r="N443" s="3">
        <v>11322</v>
      </c>
      <c r="O443" s="42"/>
      <c r="P443" s="3"/>
      <c r="Q443" s="42"/>
      <c r="R443" s="48"/>
      <c r="S443" s="3"/>
      <c r="T443" s="3">
        <f t="shared" si="146"/>
        <v>0</v>
      </c>
      <c r="U443" s="3">
        <f t="shared" si="150"/>
        <v>0</v>
      </c>
      <c r="V443" s="3">
        <f t="shared" si="148"/>
        <v>0</v>
      </c>
      <c r="W443" s="3"/>
      <c r="X443" s="3">
        <f t="shared" si="151"/>
        <v>0</v>
      </c>
      <c r="Y443" s="10"/>
      <c r="Z443" s="4"/>
      <c r="AA443" s="4"/>
      <c r="AB443" s="5"/>
      <c r="AC443" s="5"/>
      <c r="AD443" s="5"/>
      <c r="AE443" s="5"/>
    </row>
    <row r="444" spans="1:31" ht="15.75" customHeight="1" x14ac:dyDescent="0.25">
      <c r="A444" s="5" t="s">
        <v>390</v>
      </c>
      <c r="B444" s="3">
        <v>64885.62</v>
      </c>
      <c r="C444" s="3">
        <v>40819</v>
      </c>
      <c r="D444" s="3">
        <v>116729.17</v>
      </c>
      <c r="E444" s="3">
        <v>107717.53</v>
      </c>
      <c r="F444" s="3">
        <v>16467.46</v>
      </c>
      <c r="G444" s="3">
        <v>27309.360000000001</v>
      </c>
      <c r="H444" s="3">
        <v>348123.27</v>
      </c>
      <c r="I444" s="3">
        <v>81052.78</v>
      </c>
      <c r="J444" s="3">
        <v>56292.639999999999</v>
      </c>
      <c r="K444" s="3"/>
      <c r="L444" s="3">
        <v>196865.32</v>
      </c>
      <c r="M444" s="3">
        <v>400198.06</v>
      </c>
      <c r="N444" s="3">
        <v>273622</v>
      </c>
      <c r="O444" s="42">
        <v>102078.6</v>
      </c>
      <c r="P444" s="3"/>
      <c r="Q444" s="42">
        <v>352203.27</v>
      </c>
      <c r="R444" s="48">
        <v>352203.27</v>
      </c>
      <c r="S444" s="3"/>
      <c r="T444" s="3">
        <f t="shared" si="146"/>
        <v>352203.27</v>
      </c>
      <c r="U444" s="3">
        <f t="shared" si="150"/>
        <v>352203.27</v>
      </c>
      <c r="V444" s="3">
        <f t="shared" si="148"/>
        <v>0</v>
      </c>
      <c r="W444" s="3">
        <v>0</v>
      </c>
      <c r="X444" s="3">
        <f t="shared" si="151"/>
        <v>0</v>
      </c>
      <c r="Y444" s="10"/>
      <c r="Z444" s="4"/>
      <c r="AA444" s="4"/>
      <c r="AB444" s="5"/>
      <c r="AC444" s="5"/>
      <c r="AD444" s="5"/>
      <c r="AE444" s="5"/>
    </row>
    <row r="445" spans="1:31" ht="15.75" hidden="1" customHeight="1" x14ac:dyDescent="0.25">
      <c r="A445" s="5" t="s">
        <v>391</v>
      </c>
      <c r="B445" s="3"/>
      <c r="C445" s="3"/>
      <c r="D445" s="3"/>
      <c r="E445" s="3"/>
      <c r="F445" s="3"/>
      <c r="G445" s="3"/>
      <c r="H445" s="3"/>
      <c r="I445" s="3"/>
      <c r="J445" s="3">
        <v>1045.22</v>
      </c>
      <c r="K445" s="3"/>
      <c r="L445" s="3"/>
      <c r="M445" s="3"/>
      <c r="N445" s="3"/>
      <c r="O445" s="42"/>
      <c r="P445" s="3"/>
      <c r="Q445" s="42"/>
      <c r="R445" s="48"/>
      <c r="S445" s="3"/>
      <c r="T445" s="3">
        <f t="shared" si="146"/>
        <v>0</v>
      </c>
      <c r="U445" s="3">
        <f t="shared" si="150"/>
        <v>0</v>
      </c>
      <c r="V445" s="3">
        <f t="shared" si="148"/>
        <v>0</v>
      </c>
      <c r="W445" s="3"/>
      <c r="X445" s="3">
        <f t="shared" si="151"/>
        <v>0</v>
      </c>
      <c r="Y445" s="10"/>
      <c r="Z445" s="4"/>
      <c r="AA445" s="4"/>
      <c r="AB445" s="5"/>
      <c r="AC445" s="5"/>
      <c r="AD445" s="5"/>
      <c r="AE445" s="5"/>
    </row>
    <row r="446" spans="1:31" ht="15.75" hidden="1" customHeight="1" x14ac:dyDescent="0.25">
      <c r="A446" s="5" t="s">
        <v>392</v>
      </c>
      <c r="B446" s="3"/>
      <c r="C446" s="3">
        <v>10837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42"/>
      <c r="P446" s="3"/>
      <c r="Q446" s="42"/>
      <c r="R446" s="48"/>
      <c r="S446" s="3"/>
      <c r="T446" s="3">
        <f t="shared" si="146"/>
        <v>0</v>
      </c>
      <c r="U446" s="3">
        <f t="shared" si="150"/>
        <v>0</v>
      </c>
      <c r="V446" s="3">
        <f t="shared" si="148"/>
        <v>0</v>
      </c>
      <c r="W446" s="3"/>
      <c r="X446" s="3">
        <f t="shared" si="151"/>
        <v>0</v>
      </c>
      <c r="Y446" s="10"/>
      <c r="Z446" s="4"/>
      <c r="AA446" s="4"/>
      <c r="AB446" s="5"/>
      <c r="AC446" s="5"/>
      <c r="AD446" s="5"/>
      <c r="AE446" s="5"/>
    </row>
    <row r="447" spans="1:31" ht="15.75" customHeight="1" x14ac:dyDescent="0.25">
      <c r="A447" s="5" t="s">
        <v>449</v>
      </c>
      <c r="B447" s="3"/>
      <c r="C447" s="3"/>
      <c r="D447" s="3"/>
      <c r="E447" s="3"/>
      <c r="F447" s="3"/>
      <c r="G447" s="3"/>
      <c r="H447" s="3"/>
      <c r="I447" s="3">
        <v>5000</v>
      </c>
      <c r="J447" s="3">
        <v>5000</v>
      </c>
      <c r="K447" s="3">
        <v>4369.43</v>
      </c>
      <c r="L447" s="3">
        <v>2500</v>
      </c>
      <c r="M447" s="3">
        <v>5000</v>
      </c>
      <c r="N447" s="3">
        <v>5000</v>
      </c>
      <c r="O447" s="42">
        <v>0</v>
      </c>
      <c r="P447" s="3">
        <v>5000</v>
      </c>
      <c r="Q447" s="42">
        <v>5000</v>
      </c>
      <c r="R447" s="48">
        <v>10000</v>
      </c>
      <c r="S447" s="3"/>
      <c r="T447" s="3">
        <f t="shared" si="146"/>
        <v>10000</v>
      </c>
      <c r="U447" s="3">
        <f t="shared" si="150"/>
        <v>5000</v>
      </c>
      <c r="V447" s="70">
        <f t="shared" si="148"/>
        <v>5000</v>
      </c>
      <c r="W447" s="3">
        <v>10000</v>
      </c>
      <c r="X447" s="3">
        <f t="shared" si="151"/>
        <v>5000</v>
      </c>
      <c r="Y447" s="10">
        <f>+X447/P447</f>
        <v>1</v>
      </c>
      <c r="Z447" s="57"/>
      <c r="AA447" s="4"/>
      <c r="AB447" s="5"/>
      <c r="AC447" s="5"/>
      <c r="AD447" s="5"/>
      <c r="AE447" s="5"/>
    </row>
    <row r="448" spans="1:31" ht="15.75" customHeight="1" x14ac:dyDescent="0.25">
      <c r="A448" s="5" t="s">
        <v>393</v>
      </c>
      <c r="B448" s="3"/>
      <c r="C448" s="3"/>
      <c r="D448" s="3"/>
      <c r="E448" s="3"/>
      <c r="F448" s="3">
        <v>1599.32</v>
      </c>
      <c r="G448" s="3"/>
      <c r="H448" s="3"/>
      <c r="I448" s="3"/>
      <c r="J448" s="3">
        <v>866.88</v>
      </c>
      <c r="K448" s="3">
        <v>1225.5</v>
      </c>
      <c r="L448" s="3">
        <v>158358.5</v>
      </c>
      <c r="M448" s="3">
        <v>169644.78</v>
      </c>
      <c r="N448" s="3"/>
      <c r="O448" s="42">
        <v>2792.79</v>
      </c>
      <c r="P448" s="3">
        <v>1000</v>
      </c>
      <c r="Q448" s="42">
        <v>1000</v>
      </c>
      <c r="R448" s="48">
        <v>0</v>
      </c>
      <c r="S448" s="3">
        <v>1000</v>
      </c>
      <c r="T448" s="3">
        <f t="shared" si="146"/>
        <v>1000</v>
      </c>
      <c r="U448" s="3">
        <f t="shared" si="150"/>
        <v>0</v>
      </c>
      <c r="V448" s="3">
        <f t="shared" si="148"/>
        <v>0</v>
      </c>
      <c r="W448" s="3">
        <v>1000</v>
      </c>
      <c r="X448" s="3">
        <f t="shared" si="151"/>
        <v>0</v>
      </c>
      <c r="Y448" s="10"/>
      <c r="Z448" s="4"/>
      <c r="AA448" s="4"/>
      <c r="AB448" s="5"/>
      <c r="AC448" s="5"/>
      <c r="AD448" s="5"/>
      <c r="AE448" s="5"/>
    </row>
    <row r="449" spans="1:31" ht="15.75" customHeight="1" x14ac:dyDescent="0.25">
      <c r="A449" s="5" t="s">
        <v>394</v>
      </c>
      <c r="B449" s="3"/>
      <c r="C449" s="3">
        <v>1965</v>
      </c>
      <c r="D449" s="3">
        <v>2500</v>
      </c>
      <c r="E449" s="3">
        <v>3898.2</v>
      </c>
      <c r="F449" s="3">
        <v>3652.37</v>
      </c>
      <c r="G449" s="3">
        <v>3884.17</v>
      </c>
      <c r="H449" s="3">
        <v>3643.13</v>
      </c>
      <c r="I449" s="3">
        <v>2563.35</v>
      </c>
      <c r="J449" s="3">
        <v>460.57</v>
      </c>
      <c r="K449" s="3">
        <v>1483.26</v>
      </c>
      <c r="L449" s="3">
        <v>1946.63</v>
      </c>
      <c r="M449" s="3">
        <v>1456.34</v>
      </c>
      <c r="N449" s="3">
        <v>0</v>
      </c>
      <c r="O449" s="42"/>
      <c r="P449" s="3"/>
      <c r="Q449" s="42"/>
      <c r="R449" s="48"/>
      <c r="S449" s="3"/>
      <c r="T449" s="3">
        <f t="shared" si="146"/>
        <v>0</v>
      </c>
      <c r="U449" s="3">
        <f t="shared" si="150"/>
        <v>0</v>
      </c>
      <c r="V449" s="3">
        <f t="shared" si="148"/>
        <v>0</v>
      </c>
      <c r="W449" s="3"/>
      <c r="X449" s="3">
        <f t="shared" si="151"/>
        <v>0</v>
      </c>
      <c r="Y449" s="10"/>
      <c r="Z449" s="4"/>
      <c r="AA449" s="4"/>
      <c r="AB449" s="5"/>
      <c r="AC449" s="5"/>
      <c r="AD449" s="5"/>
      <c r="AE449" s="5"/>
    </row>
    <row r="450" spans="1:31" ht="15.75" customHeight="1" x14ac:dyDescent="0.25">
      <c r="A450" s="5" t="s">
        <v>395</v>
      </c>
      <c r="B450" s="3"/>
      <c r="C450" s="3">
        <v>890.35</v>
      </c>
      <c r="D450" s="3">
        <v>681.05</v>
      </c>
      <c r="E450" s="3"/>
      <c r="F450" s="3"/>
      <c r="G450" s="3"/>
      <c r="H450" s="3"/>
      <c r="I450" s="3"/>
      <c r="J450" s="3"/>
      <c r="K450" s="3">
        <v>1111.52</v>
      </c>
      <c r="L450" s="3"/>
      <c r="M450" s="3"/>
      <c r="N450" s="3"/>
      <c r="O450" s="42"/>
      <c r="P450" s="3"/>
      <c r="Q450" s="42"/>
      <c r="R450" s="48"/>
      <c r="S450" s="3"/>
      <c r="T450" s="3">
        <f t="shared" si="146"/>
        <v>0</v>
      </c>
      <c r="U450" s="3">
        <f t="shared" si="150"/>
        <v>0</v>
      </c>
      <c r="V450" s="3">
        <f t="shared" si="148"/>
        <v>0</v>
      </c>
      <c r="W450" s="3"/>
      <c r="X450" s="3">
        <f t="shared" si="151"/>
        <v>0</v>
      </c>
      <c r="Y450" s="10"/>
      <c r="Z450" s="4"/>
      <c r="AA450" s="4"/>
      <c r="AB450" s="5"/>
      <c r="AC450" s="5"/>
      <c r="AD450" s="5"/>
      <c r="AE450" s="5"/>
    </row>
    <row r="451" spans="1:31" ht="15.75" customHeight="1" x14ac:dyDescent="0.25">
      <c r="A451" s="5" t="s">
        <v>396</v>
      </c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42"/>
      <c r="P451" s="3"/>
      <c r="Q451" s="42"/>
      <c r="R451" s="48"/>
      <c r="S451" s="3"/>
      <c r="T451" s="3">
        <f t="shared" si="146"/>
        <v>0</v>
      </c>
      <c r="U451" s="3">
        <f t="shared" si="150"/>
        <v>0</v>
      </c>
      <c r="V451" s="3">
        <f t="shared" si="148"/>
        <v>0</v>
      </c>
      <c r="W451" s="3"/>
      <c r="X451" s="3">
        <f t="shared" si="151"/>
        <v>0</v>
      </c>
      <c r="Y451" s="10"/>
      <c r="Z451" s="4"/>
      <c r="AA451" s="4"/>
      <c r="AB451" s="5"/>
      <c r="AC451" s="5"/>
      <c r="AD451" s="5"/>
      <c r="AE451" s="5"/>
    </row>
    <row r="452" spans="1:31" ht="15.75" customHeight="1" x14ac:dyDescent="0.25">
      <c r="A452" s="5" t="s">
        <v>397</v>
      </c>
      <c r="B452" s="3"/>
      <c r="C452" s="3">
        <v>17878</v>
      </c>
      <c r="D452" s="3"/>
      <c r="E452" s="3"/>
      <c r="F452" s="3"/>
      <c r="G452" s="3"/>
      <c r="H452" s="3"/>
      <c r="I452" s="3"/>
      <c r="J452" s="3"/>
      <c r="K452" s="3"/>
      <c r="L452" s="3"/>
      <c r="M452" s="3">
        <v>46951.22</v>
      </c>
      <c r="N452" s="3"/>
      <c r="O452" s="42"/>
      <c r="P452" s="3"/>
      <c r="Q452" s="42"/>
      <c r="R452" s="48"/>
      <c r="S452" s="3"/>
      <c r="T452" s="3">
        <f t="shared" si="146"/>
        <v>0</v>
      </c>
      <c r="U452" s="3">
        <f t="shared" si="150"/>
        <v>0</v>
      </c>
      <c r="V452" s="3">
        <f t="shared" si="148"/>
        <v>0</v>
      </c>
      <c r="W452" s="3"/>
      <c r="X452" s="3">
        <f t="shared" si="151"/>
        <v>0</v>
      </c>
      <c r="Y452" s="10"/>
      <c r="Z452" s="4"/>
      <c r="AA452" s="4"/>
      <c r="AB452" s="5"/>
      <c r="AC452" s="5"/>
      <c r="AD452" s="5"/>
      <c r="AE452" s="5"/>
    </row>
    <row r="453" spans="1:31" ht="15.75" customHeight="1" x14ac:dyDescent="0.25">
      <c r="A453" s="5" t="s">
        <v>398</v>
      </c>
      <c r="B453" s="3"/>
      <c r="C453" s="3">
        <v>118</v>
      </c>
      <c r="D453" s="3">
        <v>8756.48</v>
      </c>
      <c r="E453" s="3">
        <v>40492.61</v>
      </c>
      <c r="F453" s="3"/>
      <c r="G453" s="3">
        <v>0.04</v>
      </c>
      <c r="H453" s="3"/>
      <c r="I453" s="3">
        <v>10772.52</v>
      </c>
      <c r="J453" s="3"/>
      <c r="K453" s="3"/>
      <c r="L453" s="3"/>
      <c r="M453" s="3">
        <v>32137.759999999998</v>
      </c>
      <c r="N453" s="3"/>
      <c r="O453" s="42"/>
      <c r="P453" s="3"/>
      <c r="Q453" s="42"/>
      <c r="R453" s="48"/>
      <c r="S453" s="3"/>
      <c r="T453" s="3">
        <f t="shared" si="146"/>
        <v>0</v>
      </c>
      <c r="U453" s="3">
        <f t="shared" si="150"/>
        <v>0</v>
      </c>
      <c r="V453" s="3">
        <f t="shared" si="148"/>
        <v>0</v>
      </c>
      <c r="W453" s="3"/>
      <c r="X453" s="3">
        <f t="shared" si="151"/>
        <v>0</v>
      </c>
      <c r="Y453" s="10"/>
      <c r="Z453" s="4"/>
      <c r="AA453" s="4"/>
      <c r="AB453" s="5"/>
      <c r="AC453" s="5"/>
      <c r="AD453" s="5"/>
      <c r="AE453" s="5"/>
    </row>
    <row r="454" spans="1:31" ht="15.75" customHeight="1" x14ac:dyDescent="0.25">
      <c r="A454" s="5" t="s">
        <v>399</v>
      </c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42">
        <v>0</v>
      </c>
      <c r="P454" s="3">
        <v>190000</v>
      </c>
      <c r="Q454" s="42">
        <v>190000</v>
      </c>
      <c r="R454" s="48"/>
      <c r="S454" s="3"/>
      <c r="T454" s="3">
        <f t="shared" si="146"/>
        <v>0</v>
      </c>
      <c r="U454" s="3">
        <f t="shared" si="150"/>
        <v>-190000</v>
      </c>
      <c r="V454" s="3">
        <f t="shared" si="148"/>
        <v>-190000</v>
      </c>
      <c r="W454" s="3">
        <v>190000</v>
      </c>
      <c r="X454" s="3">
        <f t="shared" si="151"/>
        <v>0</v>
      </c>
      <c r="Y454" s="10">
        <f>+X454/P454</f>
        <v>0</v>
      </c>
      <c r="Z454" s="4"/>
      <c r="AA454" s="4"/>
      <c r="AB454" s="5"/>
      <c r="AC454" s="5"/>
      <c r="AD454" s="5"/>
      <c r="AE454" s="5"/>
    </row>
    <row r="455" spans="1:31" ht="15.75" customHeight="1" x14ac:dyDescent="0.25">
      <c r="A455" s="1"/>
      <c r="B455" s="13">
        <f t="shared" ref="B455:X455" si="152">SUM(B345:B454)</f>
        <v>1188880.6399999999</v>
      </c>
      <c r="C455" s="13">
        <f t="shared" si="152"/>
        <v>1206576.3600000001</v>
      </c>
      <c r="D455" s="13">
        <f t="shared" si="152"/>
        <v>1266779.5300000003</v>
      </c>
      <c r="E455" s="13">
        <f t="shared" si="152"/>
        <v>1314262.8500000003</v>
      </c>
      <c r="F455" s="13">
        <f t="shared" si="152"/>
        <v>1094172.97</v>
      </c>
      <c r="G455" s="13">
        <f t="shared" si="152"/>
        <v>1192720.8400000001</v>
      </c>
      <c r="H455" s="13">
        <f t="shared" si="152"/>
        <v>1677449.3599999996</v>
      </c>
      <c r="I455" s="13">
        <f t="shared" si="152"/>
        <v>1259741.4499999997</v>
      </c>
      <c r="J455" s="13">
        <f t="shared" si="152"/>
        <v>1111741.6700000002</v>
      </c>
      <c r="K455" s="13">
        <f t="shared" si="152"/>
        <v>1172917.06</v>
      </c>
      <c r="L455" s="13">
        <f t="shared" si="152"/>
        <v>1790919.3799999997</v>
      </c>
      <c r="M455" s="13">
        <f t="shared" si="152"/>
        <v>2208847.2799999998</v>
      </c>
      <c r="N455" s="13">
        <f t="shared" si="152"/>
        <v>1893387</v>
      </c>
      <c r="O455" s="44">
        <f t="shared" si="152"/>
        <v>2019121.1300000004</v>
      </c>
      <c r="P455" s="13">
        <f t="shared" si="152"/>
        <v>1722113</v>
      </c>
      <c r="Q455" s="44">
        <f t="shared" si="152"/>
        <v>2474316.27</v>
      </c>
      <c r="R455" s="44">
        <f t="shared" si="152"/>
        <v>1263032.2000000002</v>
      </c>
      <c r="S455" s="13">
        <f t="shared" si="152"/>
        <v>975911.42</v>
      </c>
      <c r="T455" s="13">
        <f t="shared" si="152"/>
        <v>2238943.62</v>
      </c>
      <c r="U455" s="13">
        <f t="shared" si="152"/>
        <v>516830.62</v>
      </c>
      <c r="V455" s="13">
        <f t="shared" si="152"/>
        <v>-235372.65</v>
      </c>
      <c r="W455" s="13">
        <f t="shared" si="152"/>
        <v>1903376</v>
      </c>
      <c r="X455" s="13">
        <f t="shared" si="152"/>
        <v>181263</v>
      </c>
      <c r="Y455" s="16">
        <f>+X455/P455</f>
        <v>0.10525615914867376</v>
      </c>
      <c r="Z455" s="4"/>
      <c r="AA455" s="4"/>
      <c r="AB455" s="5"/>
      <c r="AC455" s="5"/>
      <c r="AD455" s="5"/>
      <c r="AE455" s="5"/>
    </row>
    <row r="456" spans="1:31" ht="15.75" customHeight="1" x14ac:dyDescent="0.25">
      <c r="A456" s="5"/>
      <c r="B456" s="3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42"/>
      <c r="P456" s="3"/>
      <c r="Q456" s="42"/>
      <c r="R456" s="42"/>
      <c r="S456" s="3"/>
      <c r="T456" s="3"/>
      <c r="U456" s="3"/>
      <c r="V456" s="3"/>
      <c r="W456" s="3"/>
      <c r="X456" s="13"/>
      <c r="Y456" s="16"/>
      <c r="Z456" s="4"/>
      <c r="AA456" s="4"/>
      <c r="AB456" s="5"/>
      <c r="AC456" s="5"/>
      <c r="AD456" s="5"/>
      <c r="AE456" s="5"/>
    </row>
    <row r="457" spans="1:31" ht="15.75" customHeight="1" x14ac:dyDescent="0.25">
      <c r="A457" s="2" t="s">
        <v>400</v>
      </c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42"/>
      <c r="P457" s="3">
        <v>45906696</v>
      </c>
      <c r="Q457" s="42"/>
      <c r="R457" s="42"/>
      <c r="S457" s="3"/>
      <c r="T457" s="3"/>
      <c r="U457" s="3"/>
      <c r="V457" s="3"/>
      <c r="W457" s="3">
        <v>46007401</v>
      </c>
      <c r="X457" s="3">
        <f>+W457-P457</f>
        <v>100705</v>
      </c>
      <c r="Y457" s="10">
        <f>+X457/P457</f>
        <v>2.1936886941286301E-3</v>
      </c>
      <c r="Z457" s="4"/>
      <c r="AA457" s="4"/>
      <c r="AB457" s="5"/>
      <c r="AC457" s="5"/>
      <c r="AD457" s="5"/>
      <c r="AE457" s="5"/>
    </row>
    <row r="458" spans="1:31" ht="15.75" customHeight="1" x14ac:dyDescent="0.25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42"/>
      <c r="P458" s="3"/>
      <c r="Q458" s="42"/>
      <c r="R458" s="42"/>
      <c r="S458" s="3"/>
      <c r="T458" s="3"/>
      <c r="U458" s="3"/>
      <c r="V458" s="3"/>
      <c r="W458" s="3"/>
      <c r="X458" s="3"/>
      <c r="Y458" s="10"/>
      <c r="Z458" s="4"/>
      <c r="AA458" s="4"/>
      <c r="AB458" s="5"/>
      <c r="AC458" s="5"/>
      <c r="AD458" s="5"/>
      <c r="AE458" s="5"/>
    </row>
    <row r="459" spans="1:31" ht="15.75" customHeight="1" x14ac:dyDescent="0.25">
      <c r="A459" s="2" t="s">
        <v>401</v>
      </c>
      <c r="B459" s="26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37"/>
      <c r="P459" s="4">
        <f>+P461/(P457/1000)</f>
        <v>72.147019467486828</v>
      </c>
      <c r="Q459" s="37"/>
      <c r="R459" s="42"/>
      <c r="S459" s="4"/>
      <c r="T459" s="4"/>
      <c r="U459" s="4"/>
      <c r="V459" s="3"/>
      <c r="W459" s="4">
        <f>+W461/(W457/1000)</f>
        <v>76.386305977162252</v>
      </c>
      <c r="X459" s="4">
        <f>+W459-P459</f>
        <v>4.2392865096754235</v>
      </c>
      <c r="Y459" s="27">
        <f>+X459/P459</f>
        <v>5.8758997127883641E-2</v>
      </c>
      <c r="Z459" s="27"/>
      <c r="AA459" s="4"/>
      <c r="AB459" s="5"/>
      <c r="AC459" s="5"/>
      <c r="AD459" s="5"/>
      <c r="AE459" s="5"/>
    </row>
    <row r="460" spans="1:31" ht="15.75" customHeight="1" x14ac:dyDescent="0.25">
      <c r="A460" s="5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49"/>
      <c r="P460" s="27"/>
      <c r="Q460" s="49"/>
      <c r="R460" s="43"/>
      <c r="S460" s="11"/>
      <c r="T460" s="3"/>
      <c r="U460" s="3"/>
      <c r="V460" s="3"/>
      <c r="W460" s="27"/>
      <c r="X460" s="3"/>
      <c r="Y460" s="10"/>
      <c r="Z460" s="4"/>
      <c r="AA460" s="4"/>
      <c r="AB460" s="5"/>
      <c r="AC460" s="5"/>
      <c r="AD460" s="5"/>
      <c r="AE460" s="5"/>
    </row>
    <row r="461" spans="1:31" ht="15.75" customHeight="1" x14ac:dyDescent="0.25">
      <c r="A461" s="2" t="s">
        <v>402</v>
      </c>
      <c r="B461" s="7">
        <v>2160918.04</v>
      </c>
      <c r="C461" s="7">
        <v>2197702.3199999998</v>
      </c>
      <c r="D461" s="7">
        <v>2244809.7400000002</v>
      </c>
      <c r="E461" s="7">
        <v>2291192.34</v>
      </c>
      <c r="F461" s="7">
        <v>2347288.69</v>
      </c>
      <c r="G461" s="7">
        <v>2355300</v>
      </c>
      <c r="H461" s="7">
        <v>2388507.34</v>
      </c>
      <c r="I461" s="7">
        <v>2440824.2599999998</v>
      </c>
      <c r="J461" s="7">
        <v>2493032.1800000002</v>
      </c>
      <c r="K461" s="7">
        <v>2624467.98</v>
      </c>
      <c r="L461" s="7">
        <v>2686760.6</v>
      </c>
      <c r="M461" s="7">
        <v>2747739.84</v>
      </c>
      <c r="N461" s="7">
        <v>2907991</v>
      </c>
      <c r="O461" s="45">
        <v>3166433.72</v>
      </c>
      <c r="P461" s="3">
        <f>+P342-P455</f>
        <v>3312031.29</v>
      </c>
      <c r="Q461" s="42">
        <v>3312618</v>
      </c>
      <c r="R461" s="42">
        <v>3312617.34</v>
      </c>
      <c r="S461" s="3"/>
      <c r="T461" s="3">
        <f>+R461+S461</f>
        <v>3312617.34</v>
      </c>
      <c r="U461" s="3">
        <f>+T461-P461</f>
        <v>586.04999999981374</v>
      </c>
      <c r="V461" s="3">
        <f>+T461-Q461</f>
        <v>-0.66000000014901161</v>
      </c>
      <c r="W461" s="3">
        <f>+W342-W455</f>
        <v>3514335.41</v>
      </c>
      <c r="X461" s="3">
        <f>+W461-P461</f>
        <v>202304.12000000011</v>
      </c>
      <c r="Y461" s="27">
        <f>+X461/P461</f>
        <v>6.1081584769689813E-2</v>
      </c>
      <c r="Z461" s="4"/>
      <c r="AA461" s="4"/>
      <c r="AB461" s="3"/>
      <c r="AC461" s="3"/>
      <c r="AD461" s="5"/>
      <c r="AE461" s="5"/>
    </row>
    <row r="462" spans="1:31" ht="15.75" customHeight="1" x14ac:dyDescent="0.25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42"/>
      <c r="P462" s="3"/>
      <c r="Q462" s="42"/>
      <c r="R462" s="42"/>
      <c r="S462" s="3"/>
      <c r="T462" s="3"/>
      <c r="U462" s="3"/>
      <c r="V462" s="3"/>
      <c r="W462" s="3"/>
      <c r="X462" s="3"/>
      <c r="Y462" s="10"/>
      <c r="Z462" s="4"/>
      <c r="AA462" s="4"/>
      <c r="AB462" s="4"/>
      <c r="AC462" s="28"/>
      <c r="AD462" s="5"/>
      <c r="AE462" s="5"/>
    </row>
    <row r="463" spans="1:31" ht="15.75" customHeight="1" x14ac:dyDescent="0.25">
      <c r="A463" s="2" t="s">
        <v>403</v>
      </c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50"/>
      <c r="P463" s="29"/>
      <c r="Q463" s="50"/>
      <c r="R463" s="42"/>
      <c r="S463" s="3"/>
      <c r="T463" s="3"/>
      <c r="U463" s="3"/>
      <c r="V463" s="3"/>
      <c r="W463" s="29"/>
      <c r="X463" s="3"/>
      <c r="Y463" s="10"/>
      <c r="Z463" s="4"/>
      <c r="AA463" s="4"/>
      <c r="AB463" s="5"/>
      <c r="AC463" s="5"/>
      <c r="AD463" s="5"/>
      <c r="AE463" s="5"/>
    </row>
    <row r="464" spans="1:31" ht="15.75" customHeight="1" x14ac:dyDescent="0.25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42"/>
      <c r="P464" s="3"/>
      <c r="Q464" s="42"/>
      <c r="R464" s="42"/>
      <c r="S464" s="3"/>
      <c r="T464" s="3"/>
      <c r="U464" s="3"/>
      <c r="V464" s="3"/>
      <c r="W464" s="3"/>
      <c r="X464" s="3"/>
      <c r="Y464" s="10"/>
      <c r="Z464" s="4"/>
      <c r="AA464" s="4"/>
      <c r="AB464" s="5"/>
      <c r="AC464" s="5"/>
      <c r="AD464" s="5"/>
      <c r="AE464" s="5"/>
    </row>
    <row r="465" spans="1:31" ht="15.75" customHeight="1" x14ac:dyDescent="0.25">
      <c r="A465" s="2" t="s">
        <v>297</v>
      </c>
      <c r="B465" s="30">
        <f t="shared" ref="B465:X465" si="153">+B455</f>
        <v>1188880.6399999999</v>
      </c>
      <c r="C465" s="30">
        <f t="shared" si="153"/>
        <v>1206576.3600000001</v>
      </c>
      <c r="D465" s="30">
        <f t="shared" si="153"/>
        <v>1266779.5300000003</v>
      </c>
      <c r="E465" s="30">
        <f t="shared" si="153"/>
        <v>1314262.8500000003</v>
      </c>
      <c r="F465" s="30">
        <f t="shared" si="153"/>
        <v>1094172.97</v>
      </c>
      <c r="G465" s="30">
        <f t="shared" si="153"/>
        <v>1192720.8400000001</v>
      </c>
      <c r="H465" s="30">
        <f t="shared" si="153"/>
        <v>1677449.3599999996</v>
      </c>
      <c r="I465" s="30">
        <f t="shared" si="153"/>
        <v>1259741.4499999997</v>
      </c>
      <c r="J465" s="30">
        <f t="shared" si="153"/>
        <v>1111741.6700000002</v>
      </c>
      <c r="K465" s="30">
        <f t="shared" si="153"/>
        <v>1172917.06</v>
      </c>
      <c r="L465" s="30">
        <f t="shared" si="153"/>
        <v>1790919.3799999997</v>
      </c>
      <c r="M465" s="30">
        <f t="shared" si="153"/>
        <v>2208847.2799999998</v>
      </c>
      <c r="N465" s="30">
        <f t="shared" si="153"/>
        <v>1893387</v>
      </c>
      <c r="O465" s="51">
        <f>+O455</f>
        <v>2019121.1300000004</v>
      </c>
      <c r="P465" s="30">
        <f t="shared" si="153"/>
        <v>1722113</v>
      </c>
      <c r="Q465" s="51">
        <f t="shared" si="153"/>
        <v>2474316.27</v>
      </c>
      <c r="R465" s="51">
        <f t="shared" si="153"/>
        <v>1263032.2000000002</v>
      </c>
      <c r="S465" s="30">
        <f t="shared" si="153"/>
        <v>975911.42</v>
      </c>
      <c r="T465" s="30">
        <f t="shared" si="153"/>
        <v>2238943.62</v>
      </c>
      <c r="U465" s="30">
        <f t="shared" si="153"/>
        <v>516830.62</v>
      </c>
      <c r="V465" s="30">
        <f t="shared" si="153"/>
        <v>-235372.65</v>
      </c>
      <c r="W465" s="30">
        <f t="shared" si="153"/>
        <v>1903376</v>
      </c>
      <c r="X465" s="30">
        <f t="shared" si="153"/>
        <v>181263</v>
      </c>
      <c r="Y465" s="16">
        <f>+X465/P465</f>
        <v>0.10525615914867376</v>
      </c>
      <c r="Z465" s="4"/>
      <c r="AA465" s="4"/>
      <c r="AB465" s="5"/>
      <c r="AC465" s="5"/>
      <c r="AD465" s="5"/>
      <c r="AE465" s="5"/>
    </row>
    <row r="466" spans="1:31" ht="15.75" customHeight="1" x14ac:dyDescent="0.25">
      <c r="A466" s="1" t="s">
        <v>404</v>
      </c>
      <c r="B466" s="13">
        <f t="shared" ref="B466:W466" si="154">SUM(B461:B465)</f>
        <v>3349798.6799999997</v>
      </c>
      <c r="C466" s="13">
        <f t="shared" si="154"/>
        <v>3404278.6799999997</v>
      </c>
      <c r="D466" s="13">
        <f t="shared" si="154"/>
        <v>3511589.2700000005</v>
      </c>
      <c r="E466" s="13">
        <f t="shared" si="154"/>
        <v>3605455.1900000004</v>
      </c>
      <c r="F466" s="13">
        <f t="shared" si="154"/>
        <v>3441461.66</v>
      </c>
      <c r="G466" s="13">
        <f t="shared" si="154"/>
        <v>3548020.84</v>
      </c>
      <c r="H466" s="13">
        <f t="shared" si="154"/>
        <v>4065956.6999999993</v>
      </c>
      <c r="I466" s="13">
        <f t="shared" si="154"/>
        <v>3700565.7099999995</v>
      </c>
      <c r="J466" s="13">
        <f t="shared" si="154"/>
        <v>3604773.8500000006</v>
      </c>
      <c r="K466" s="13">
        <f t="shared" si="154"/>
        <v>3797385.04</v>
      </c>
      <c r="L466" s="13">
        <f t="shared" si="154"/>
        <v>4477679.9799999995</v>
      </c>
      <c r="M466" s="13">
        <f t="shared" si="154"/>
        <v>4956587.1199999992</v>
      </c>
      <c r="N466" s="13">
        <f t="shared" si="154"/>
        <v>4801378</v>
      </c>
      <c r="O466" s="47">
        <f>SUM(O461:O465)</f>
        <v>5185554.8500000006</v>
      </c>
      <c r="P466" s="13">
        <f t="shared" si="154"/>
        <v>5034144.29</v>
      </c>
      <c r="Q466" s="44">
        <f t="shared" si="154"/>
        <v>5786934.2699999996</v>
      </c>
      <c r="R466" s="44">
        <f t="shared" si="154"/>
        <v>4575649.54</v>
      </c>
      <c r="S466" s="13">
        <f t="shared" si="154"/>
        <v>975911.42</v>
      </c>
      <c r="T466" s="13">
        <f t="shared" si="154"/>
        <v>5551560.96</v>
      </c>
      <c r="U466" s="13">
        <f t="shared" si="154"/>
        <v>517416.66999999981</v>
      </c>
      <c r="V466" s="13">
        <f t="shared" si="154"/>
        <v>-235373.31000000014</v>
      </c>
      <c r="W466" s="13">
        <f t="shared" si="154"/>
        <v>5417711.4100000001</v>
      </c>
      <c r="X466" s="13">
        <f>SUM(X461:X465)</f>
        <v>383567.12000000011</v>
      </c>
      <c r="Y466" s="16">
        <f>+X466/P466</f>
        <v>7.6193112057183432E-2</v>
      </c>
      <c r="Z466" s="4"/>
      <c r="AA466" s="4"/>
      <c r="AB466" s="5"/>
      <c r="AC466" s="5"/>
      <c r="AD466" s="5"/>
      <c r="AE466" s="5"/>
    </row>
    <row r="467" spans="1:31" ht="15.75" customHeight="1" x14ac:dyDescent="0.25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 t="e">
        <f t="shared" ref="K467:Q467" si="155">+K466-K342</f>
        <v>#REF!</v>
      </c>
      <c r="L467" s="3">
        <f t="shared" si="155"/>
        <v>63185.639999999665</v>
      </c>
      <c r="M467" s="3">
        <f t="shared" si="155"/>
        <v>-246779.1799999997</v>
      </c>
      <c r="N467" s="3">
        <f t="shared" si="155"/>
        <v>-105943</v>
      </c>
      <c r="O467" s="3">
        <f t="shared" si="155"/>
        <v>196176.03000000026</v>
      </c>
      <c r="P467" s="3">
        <f t="shared" si="155"/>
        <v>0</v>
      </c>
      <c r="Q467" s="3">
        <f t="shared" si="155"/>
        <v>0</v>
      </c>
      <c r="R467" s="3"/>
      <c r="S467" s="3"/>
      <c r="T467" s="3">
        <f>+T466-T342</f>
        <v>128948.22570499964</v>
      </c>
      <c r="U467" s="3"/>
      <c r="V467" s="3"/>
      <c r="W467" s="3">
        <f>+W466-W342</f>
        <v>0</v>
      </c>
      <c r="X467" s="3">
        <f>+X466-X342</f>
        <v>0</v>
      </c>
      <c r="Y467" s="10"/>
      <c r="Z467" s="4"/>
      <c r="AA467" s="4"/>
      <c r="AB467" s="5"/>
      <c r="AC467" s="5"/>
      <c r="AD467" s="5"/>
      <c r="AE467" s="5"/>
    </row>
    <row r="468" spans="1:31" ht="15.75" hidden="1" customHeight="1" x14ac:dyDescent="0.25">
      <c r="A468" s="5" t="s">
        <v>405</v>
      </c>
      <c r="B468" s="3">
        <f t="shared" ref="B468:N468" si="156">+B466-B342</f>
        <v>22879.519999999553</v>
      </c>
      <c r="C468" s="3">
        <f t="shared" si="156"/>
        <v>-43890.770000000484</v>
      </c>
      <c r="D468" s="3">
        <f t="shared" si="156"/>
        <v>-10392.129999999423</v>
      </c>
      <c r="E468" s="3">
        <f t="shared" si="156"/>
        <v>118795.3900000006</v>
      </c>
      <c r="F468" s="3">
        <f t="shared" si="156"/>
        <v>221627.85999999987</v>
      </c>
      <c r="G468" s="3">
        <f t="shared" si="156"/>
        <v>38753.009999999776</v>
      </c>
      <c r="H468" s="3">
        <f t="shared" si="156"/>
        <v>-35001.02000000095</v>
      </c>
      <c r="I468" s="3">
        <f t="shared" si="156"/>
        <v>-119005.95000000019</v>
      </c>
      <c r="J468" s="3">
        <f t="shared" si="156"/>
        <v>-65694.129999999423</v>
      </c>
      <c r="K468" s="3" t="e">
        <f t="shared" si="156"/>
        <v>#REF!</v>
      </c>
      <c r="L468" s="3">
        <f t="shared" si="156"/>
        <v>63185.639999999665</v>
      </c>
      <c r="M468" s="3">
        <f t="shared" si="156"/>
        <v>-246779.1799999997</v>
      </c>
      <c r="N468" s="3">
        <f t="shared" si="156"/>
        <v>-105943</v>
      </c>
      <c r="O468" s="42"/>
      <c r="P468" s="3">
        <f t="shared" ref="P468:U468" si="157">+P466-P342</f>
        <v>0</v>
      </c>
      <c r="Q468" s="42">
        <f t="shared" si="157"/>
        <v>0</v>
      </c>
      <c r="R468" s="42">
        <f t="shared" si="157"/>
        <v>773015.91999999946</v>
      </c>
      <c r="S468" s="3">
        <f t="shared" si="157"/>
        <v>-641408.7242950002</v>
      </c>
      <c r="T468" s="3">
        <f t="shared" si="157"/>
        <v>128948.22570499964</v>
      </c>
      <c r="U468" s="3">
        <f t="shared" si="157"/>
        <v>128948.22570499976</v>
      </c>
      <c r="V468" s="3">
        <f>+T468-Q468</f>
        <v>128948.22570499964</v>
      </c>
      <c r="W468" s="3">
        <f>+W466-W342</f>
        <v>0</v>
      </c>
      <c r="X468" s="3">
        <f>+X466-X342</f>
        <v>0</v>
      </c>
      <c r="Y468" s="3">
        <f>+Y466-Y342</f>
        <v>0</v>
      </c>
      <c r="Z468" s="4"/>
      <c r="AA468" s="4"/>
      <c r="AB468" s="5"/>
      <c r="AC468" s="5"/>
      <c r="AD468" s="5"/>
      <c r="AE468" s="5"/>
    </row>
    <row r="469" spans="1:31" ht="15.75" hidden="1" customHeight="1" x14ac:dyDescent="0.25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42"/>
      <c r="P469" s="3"/>
      <c r="Q469" s="42"/>
      <c r="R469" s="42"/>
      <c r="S469" s="3"/>
      <c r="T469" s="3"/>
      <c r="U469" s="3"/>
      <c r="V469" s="3"/>
      <c r="W469" s="3"/>
      <c r="X469" s="3"/>
      <c r="Y469" s="3"/>
      <c r="Z469" s="4"/>
      <c r="AA469" s="4"/>
      <c r="AB469" s="5"/>
      <c r="AC469" s="5"/>
      <c r="AD469" s="5"/>
      <c r="AE469" s="5"/>
    </row>
    <row r="470" spans="1:31" ht="15.75" hidden="1" customHeight="1" x14ac:dyDescent="0.25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42"/>
      <c r="P470" s="3"/>
      <c r="Q470" s="42"/>
      <c r="R470" s="42"/>
      <c r="S470" s="31" t="s">
        <v>406</v>
      </c>
      <c r="T470" s="3">
        <f>256438+17500</f>
        <v>273938</v>
      </c>
      <c r="U470" s="3"/>
      <c r="V470" s="3"/>
      <c r="W470" s="3"/>
      <c r="X470" s="3"/>
      <c r="Y470" s="10"/>
      <c r="Z470" s="4"/>
      <c r="AA470" s="4"/>
      <c r="AB470" s="5"/>
      <c r="AC470" s="5"/>
      <c r="AD470" s="5"/>
      <c r="AE470" s="5"/>
    </row>
    <row r="471" spans="1:31" ht="15.75" hidden="1" customHeight="1" x14ac:dyDescent="0.25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42"/>
      <c r="P471" s="3"/>
      <c r="Q471" s="42"/>
      <c r="R471" s="42"/>
      <c r="S471" s="3" t="s">
        <v>407</v>
      </c>
      <c r="T471" s="3">
        <f>+T468</f>
        <v>128948.22570499964</v>
      </c>
      <c r="U471" s="3"/>
      <c r="V471" s="3"/>
      <c r="W471" s="3"/>
      <c r="X471" s="3"/>
      <c r="Y471" s="10"/>
      <c r="Z471" s="4"/>
      <c r="AA471" s="4"/>
      <c r="AB471" s="5"/>
      <c r="AC471" s="5"/>
      <c r="AD471" s="5"/>
      <c r="AE471" s="5"/>
    </row>
    <row r="472" spans="1:31" ht="15.75" hidden="1" customHeight="1" x14ac:dyDescent="0.25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42"/>
      <c r="P472" s="3"/>
      <c r="Q472" s="42"/>
      <c r="R472" s="42"/>
      <c r="S472" s="31" t="s">
        <v>408</v>
      </c>
      <c r="T472" s="3">
        <f>+T470+T471</f>
        <v>402886.22570499964</v>
      </c>
      <c r="U472" s="3"/>
      <c r="V472" s="3"/>
      <c r="W472" s="3"/>
      <c r="X472" s="3"/>
      <c r="Y472" s="10"/>
      <c r="Z472" s="4"/>
      <c r="AA472" s="4"/>
      <c r="AB472" s="5"/>
      <c r="AC472" s="5"/>
      <c r="AD472" s="5"/>
      <c r="AE472" s="5"/>
    </row>
    <row r="473" spans="1:31" ht="15.75" hidden="1" customHeight="1" x14ac:dyDescent="0.25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42"/>
      <c r="P473" s="3"/>
      <c r="Q473" s="42"/>
      <c r="R473" s="42"/>
      <c r="S473" s="3"/>
      <c r="T473" s="3"/>
      <c r="U473" s="3"/>
      <c r="V473" s="3"/>
      <c r="W473" s="3"/>
      <c r="X473" s="3"/>
      <c r="Y473" s="10"/>
      <c r="Z473" s="4"/>
      <c r="AA473" s="4"/>
      <c r="AB473" s="5"/>
      <c r="AC473" s="5"/>
      <c r="AD473" s="5"/>
      <c r="AE473" s="5"/>
    </row>
    <row r="474" spans="1:31" ht="15.75" hidden="1" customHeight="1" x14ac:dyDescent="0.25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42"/>
      <c r="P474" s="3"/>
      <c r="Q474" s="42"/>
      <c r="R474" s="42"/>
      <c r="S474" s="3"/>
      <c r="T474" s="3"/>
      <c r="U474" s="3"/>
      <c r="V474" s="3"/>
      <c r="W474" s="3"/>
      <c r="X474" s="3"/>
      <c r="Y474" s="10"/>
      <c r="Z474" s="4"/>
      <c r="AA474" s="4"/>
      <c r="AB474" s="5"/>
      <c r="AC474" s="5"/>
      <c r="AD474" s="5"/>
      <c r="AE474" s="5"/>
    </row>
    <row r="475" spans="1:31" ht="15.75" hidden="1" customHeight="1" x14ac:dyDescent="0.25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>
        <f>SUM(N473:N474)</f>
        <v>0</v>
      </c>
      <c r="O475" s="42"/>
      <c r="P475" s="3"/>
      <c r="Q475" s="42"/>
      <c r="R475" s="42"/>
      <c r="S475" s="3"/>
      <c r="T475" s="3"/>
      <c r="U475" s="3"/>
      <c r="V475" s="3"/>
      <c r="W475" s="3"/>
      <c r="X475" s="3"/>
      <c r="Y475" s="10"/>
      <c r="Z475" s="4"/>
      <c r="AA475" s="4"/>
      <c r="AB475" s="5"/>
      <c r="AC475" s="5"/>
      <c r="AD475" s="5"/>
      <c r="AE475" s="5"/>
    </row>
    <row r="476" spans="1:31" ht="15.75" hidden="1" customHeight="1" x14ac:dyDescent="0.25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42"/>
      <c r="P476" s="3"/>
      <c r="Q476" s="42"/>
      <c r="R476" s="42"/>
      <c r="S476" s="3"/>
      <c r="T476" s="3"/>
      <c r="U476" s="3"/>
      <c r="V476" s="3"/>
      <c r="W476" s="3"/>
      <c r="X476" s="3"/>
      <c r="Y476" s="10"/>
      <c r="Z476" s="4"/>
      <c r="AA476" s="4"/>
      <c r="AB476" s="5"/>
      <c r="AC476" s="5"/>
      <c r="AD476" s="5"/>
      <c r="AE476" s="5"/>
    </row>
    <row r="477" spans="1:31" ht="15.75" customHeight="1" x14ac:dyDescent="0.25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42"/>
      <c r="P477" s="3"/>
      <c r="Q477" s="42"/>
      <c r="R477" s="42"/>
      <c r="S477" s="65" t="s">
        <v>435</v>
      </c>
      <c r="T477" s="3">
        <v>445573</v>
      </c>
      <c r="U477" s="3"/>
      <c r="V477" s="3"/>
      <c r="W477" s="3"/>
      <c r="X477" s="3"/>
      <c r="Y477" s="10"/>
      <c r="Z477" s="4"/>
      <c r="AA477" s="4"/>
      <c r="AB477" s="5"/>
      <c r="AC477" s="5"/>
      <c r="AD477" s="5"/>
      <c r="AE477" s="5"/>
    </row>
    <row r="478" spans="1:31" ht="15.75" customHeight="1" x14ac:dyDescent="0.25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42"/>
      <c r="P478" s="3"/>
      <c r="Q478" s="42"/>
      <c r="R478" s="42"/>
      <c r="S478" s="65" t="s">
        <v>437</v>
      </c>
      <c r="T478" s="3">
        <f>+T477+T467</f>
        <v>574521.22570499964</v>
      </c>
      <c r="U478" s="3"/>
      <c r="V478" s="3"/>
      <c r="W478" s="3"/>
      <c r="X478" s="3"/>
      <c r="Y478" s="10"/>
      <c r="Z478" s="4"/>
      <c r="AA478" s="4"/>
      <c r="AB478" s="5"/>
      <c r="AC478" s="5"/>
      <c r="AD478" s="5"/>
      <c r="AE478" s="5"/>
    </row>
  </sheetData>
  <printOptions gridLines="1"/>
  <pageMargins left="0.7" right="0.7" top="0.75" bottom="0.75" header="0" footer="0"/>
  <pageSetup paperSize="5" scale="68" orientation="landscape" r:id="rId1"/>
  <headerFooter>
    <oddFooter>&amp;R&amp;P</oddFooter>
  </headerFooter>
  <rowBreaks count="6" manualBreakCount="6">
    <brk id="47" max="25" man="1"/>
    <brk id="103" max="16383" man="1"/>
    <brk id="148" max="16383" man="1"/>
    <brk id="205" max="16383" man="1"/>
    <brk id="252" max="16383" man="1"/>
    <brk id="293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Modafferi CPA</dc:creator>
  <cp:lastModifiedBy>Village Greenwood Lake</cp:lastModifiedBy>
  <cp:lastPrinted>2026-03-11T21:08:55Z</cp:lastPrinted>
  <dcterms:created xsi:type="dcterms:W3CDTF">2026-02-12T19:36:52Z</dcterms:created>
  <dcterms:modified xsi:type="dcterms:W3CDTF">2026-04-08T16:47:29Z</dcterms:modified>
</cp:coreProperties>
</file>